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85" windowWidth="7770" windowHeight="4005" activeTab="3"/>
  </bookViews>
  <sheets>
    <sheet name="IIP" sheetId="1" r:id="rId1"/>
    <sheet name="GTSXCN" sheetId="2" r:id="rId2"/>
    <sheet name="TMBL" sheetId="3" r:id="rId3"/>
    <sheet name="XNK" sheetId="4" r:id="rId4"/>
    <sheet name="chisogia" sheetId="5" r:id="rId5"/>
    <sheet name="00000000" sheetId="6" state="veryHidden" r:id="rId6"/>
    <sheet name="10000000" sheetId="7" state="veryHidden" r:id="rId7"/>
    <sheet name="20000000" sheetId="8" state="veryHidden" r:id="rId8"/>
    <sheet name="30000000" sheetId="9" state="veryHidden" r:id="rId9"/>
  </sheets>
  <externalReferences>
    <externalReference r:id="rId12"/>
  </externalReferences>
  <definedNames>
    <definedName name="_xlnm.Print_Titles" localSheetId="0">'IIP'!$4:$6</definedName>
    <definedName name="_xlnm.Print_Titles" localSheetId="3">'XNK'!$4:$7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<sst xmlns="http://schemas.openxmlformats.org/spreadsheetml/2006/main" count="277" uniqueCount="177">
  <si>
    <t>- Kinh tế nhà nước</t>
  </si>
  <si>
    <t>- Kinh tế  ngoài quốc doanh</t>
  </si>
  <si>
    <t>- Kinh tế có vốn đầu tư nước ngoài</t>
  </si>
  <si>
    <t>- Thương nghiệp</t>
  </si>
  <si>
    <t>- Khách sạn, nhà hàng</t>
  </si>
  <si>
    <t>- Dịch vụ</t>
  </si>
  <si>
    <t>- Du lịch lữ hành</t>
  </si>
  <si>
    <t>Sở Công Thương Đồng Nai</t>
  </si>
  <si>
    <t xml:space="preserve">§vt: Tû §ång </t>
  </si>
  <si>
    <t>So sánh (%)</t>
  </si>
  <si>
    <t>A</t>
  </si>
  <si>
    <t>B</t>
  </si>
  <si>
    <t>Tấn</t>
  </si>
  <si>
    <t>Chỉ tiêu</t>
  </si>
  <si>
    <t>CHỈ SỐ GIÁ</t>
  </si>
  <si>
    <t>1. Hàng ăn và dịch vụ ăn uống</t>
  </si>
  <si>
    <t xml:space="preserve">                 - Thực phẩm</t>
  </si>
  <si>
    <t>2. Đồ uống và thuốc lá</t>
  </si>
  <si>
    <t>5. Thiết bị và đồ dùng gia đình</t>
  </si>
  <si>
    <t>6. Thuốc và dịch vụ y tế</t>
  </si>
  <si>
    <t>9. Giáo dục</t>
  </si>
  <si>
    <t>10. Văn hóa, giải trí và du lịch</t>
  </si>
  <si>
    <t>11. Hàng hóa và dịch vụ khác</t>
  </si>
  <si>
    <t>Chỉ số giá vàng</t>
  </si>
  <si>
    <t>Chỉ số giá Đô la Mỹ</t>
  </si>
  <si>
    <t>Tổng mức bán lẻ toàn tỉnh</t>
  </si>
  <si>
    <t xml:space="preserve">1. Phân theo thành phần </t>
  </si>
  <si>
    <t>2. Phân theo ngành</t>
  </si>
  <si>
    <t>7. Giao thông</t>
  </si>
  <si>
    <t>8. Bưu chính viễn thông</t>
  </si>
  <si>
    <t>Trong đó:  - Lương thực</t>
  </si>
  <si>
    <t xml:space="preserve">                 - Ăn uống ngoài gia đình</t>
  </si>
  <si>
    <t>4. Nhà ở, điện, nước, chất đốt, VLXD</t>
  </si>
  <si>
    <t>ĐVT</t>
  </si>
  <si>
    <t>STT</t>
  </si>
  <si>
    <t>CHỈ TIÊU</t>
  </si>
  <si>
    <t>I</t>
  </si>
  <si>
    <t>II</t>
  </si>
  <si>
    <t>THEO NGÀNH CÔNG NGHIỆP CẤP 1</t>
  </si>
  <si>
    <t>THEO NGÀNH CÔNG NGHIỆP CẤP 2</t>
  </si>
  <si>
    <t xml:space="preserve">    Công nghiệp khai thác mỏ</t>
  </si>
  <si>
    <t xml:space="preserve">    Công nghiệp chế biến, chế tạo</t>
  </si>
  <si>
    <t xml:space="preserve">    Công nghiệp sản xuất, phân phối điện, gas</t>
  </si>
  <si>
    <t xml:space="preserve">    Cung cấp nước, quản lý và xử lý nước thải, rác thải</t>
  </si>
  <si>
    <t xml:space="preserve">       TOÀN TỈNH</t>
  </si>
  <si>
    <t>GIÁ TRỊ SẢN XUẤT CÔNG NGHIỆP (GIÁ SO SÁNH 2010)</t>
  </si>
  <si>
    <t>Công nghiệp khai thác mỏ</t>
  </si>
  <si>
    <t>Công nghiệp chế biến</t>
  </si>
  <si>
    <t>Công nghiệp sản xuất, phân phối điện, gas, nước nóng, hơi nước</t>
  </si>
  <si>
    <t>Cung cấp nước; quản lý, xử lý nước thải, rác thải</t>
  </si>
  <si>
    <t>GIÁ TRỊ SẢN XUẤT CÔNG NGHIỆP (GIÁ THỰC TẾ)</t>
  </si>
  <si>
    <t>Tháng trước</t>
  </si>
  <si>
    <t>Tháng cùng kỳ năm trước</t>
  </si>
  <si>
    <t>Chiếc</t>
  </si>
  <si>
    <t>Lượng</t>
  </si>
  <si>
    <t>- Kinh tế có vốn ĐTNN</t>
  </si>
  <si>
    <t>1000 USD</t>
  </si>
  <si>
    <t>Cùng tháng năm trước</t>
  </si>
  <si>
    <t>Tháng 12 năm trước</t>
  </si>
  <si>
    <t>Bình quân cùng kỳ</t>
  </si>
  <si>
    <t>Giá trị</t>
  </si>
  <si>
    <t>I/ XUẤT KHẨU</t>
  </si>
  <si>
    <t>- Kinh tế trong nước</t>
  </si>
  <si>
    <t>+ DN địa phương</t>
  </si>
  <si>
    <t>+ DN trung ương</t>
  </si>
  <si>
    <t>Sản phẩm từ chất dẻo</t>
  </si>
  <si>
    <t>Hóa chất</t>
  </si>
  <si>
    <t>Chất dẻo nguyên liệu</t>
  </si>
  <si>
    <t>II/ NHẬP KHẨU</t>
  </si>
  <si>
    <t>2. Mặt hàng nhập khẩu</t>
  </si>
  <si>
    <t>1. Kim ngạch nhập khẩu</t>
  </si>
  <si>
    <t>Tr.USD</t>
  </si>
  <si>
    <t>Nguyên phụ liệu thuốc lá</t>
  </si>
  <si>
    <t>Khí đốt hóa lỏng</t>
  </si>
  <si>
    <t>Sản phẩm hóa chất</t>
  </si>
  <si>
    <t>Dược phẩm</t>
  </si>
  <si>
    <t>Phân bón các loại</t>
  </si>
  <si>
    <t>Thuốc trừ sâu và nguyên liệu</t>
  </si>
  <si>
    <t>Túi xách, ví, vali, mũ và ô dù</t>
  </si>
  <si>
    <t>Hàng thủy sản</t>
  </si>
  <si>
    <t>Cà phê</t>
  </si>
  <si>
    <t>Hạt tiêu</t>
  </si>
  <si>
    <t>Cao su</t>
  </si>
  <si>
    <t>Ngô (bắp)</t>
  </si>
  <si>
    <t>Kim ngạch xuất khẩu</t>
  </si>
  <si>
    <t>Mặt hàng xuất khẩu</t>
  </si>
  <si>
    <t>Hạt điều nhân</t>
  </si>
  <si>
    <t>Tháng 12/014 so CKỳ</t>
  </si>
  <si>
    <t>Nguyên phụ liệu dệt may, da giày</t>
  </si>
  <si>
    <t>Sản phẩm gốm, sứ</t>
  </si>
  <si>
    <t>Dây điện và dây cáp điện</t>
  </si>
  <si>
    <t>Sắt, thép</t>
  </si>
  <si>
    <t>Sản phẩm từ sắt, thép</t>
  </si>
  <si>
    <t>Xơ, sợi dệt các loại</t>
  </si>
  <si>
    <t>Giày, dép các loại</t>
  </si>
  <si>
    <t>Hàng dệt, may</t>
  </si>
  <si>
    <t>Sản phẩm gỗ</t>
  </si>
  <si>
    <t>Máy móc thiết bị, DCPT khác</t>
  </si>
  <si>
    <t>Sắt thép các loại</t>
  </si>
  <si>
    <t>Kim loại thường khác</t>
  </si>
  <si>
    <t>Vải các loại</t>
  </si>
  <si>
    <t>Bông các lọai</t>
  </si>
  <si>
    <t>Linh kiện, phụ tùng ô tô</t>
  </si>
  <si>
    <t>Gỗ và sản phẩm từ gỗ</t>
  </si>
  <si>
    <t>Sản phẩm từ sắt thép</t>
  </si>
  <si>
    <t>Giấy các loại</t>
  </si>
  <si>
    <t>Máy móc thiết bị và dụng cụ phụ tùng</t>
  </si>
  <si>
    <t>Phương tiện vận tải và phụ tùng</t>
  </si>
  <si>
    <t>Máy vi tính, sản phẩm điện tử và linh kiện</t>
  </si>
  <si>
    <t>Kế hoạch năm 2016</t>
  </si>
  <si>
    <t>Ghi chú: KH năm 2016, TMBL hàng hóa, dịch vụ của tỉnh đạt khoảng 136,2- 137,4 ngàn tỷ đồng, tăng 11-12% so năm 2015.</t>
  </si>
  <si>
    <t>Thức ăn gia súc và nguyên liệu</t>
  </si>
  <si>
    <t>Ô tô nguyên chiếc các loại</t>
  </si>
  <si>
    <t>08. Khai thác đá, cát, sỏi, đất sét và cao lanh</t>
  </si>
  <si>
    <t>10. Sản xuất chế biến thực phẩm</t>
  </si>
  <si>
    <t>12. Sản xuất sản phẩm thuốc lá</t>
  </si>
  <si>
    <t>13. Dệt</t>
  </si>
  <si>
    <t>14. Sản xuất trang phục</t>
  </si>
  <si>
    <t>15. Sản xuất da và các sản phẩm có liên quan</t>
  </si>
  <si>
    <t>17. Sản xuất giấy và sản phẩm từ giấy</t>
  </si>
  <si>
    <t>20. Sản xuất hóa chất và sản phẩm hóa chất</t>
  </si>
  <si>
    <t>22. Sản xuất sản phẩm từ cao su và plastic</t>
  </si>
  <si>
    <t>23. Sản xuất sản phẩm từ khoáng phi kim loại khác</t>
  </si>
  <si>
    <t>25. Sản xuất sản phẩm từ kim loại đúc sẵn (trừ máy móc, thiết bị)</t>
  </si>
  <si>
    <t>27. Sản xuất thiết bị điện</t>
  </si>
  <si>
    <t>28. Sản xuất máy móc thiết bị chưa được phân vào đâu</t>
  </si>
  <si>
    <t>29. Sản xuất xe có động cơ</t>
  </si>
  <si>
    <t>31. Sản xuất giường, tủ, bàn, ghế</t>
  </si>
  <si>
    <t>35. Sản xuất và phân phối điện, khí đốt</t>
  </si>
  <si>
    <t>36. Khai thác, xử lý và cung cấp nước</t>
  </si>
  <si>
    <t>32. Công nghiệp chế biến, chế tạo khác</t>
  </si>
  <si>
    <t>Ghi chú: KH năm 2016, chỉ số sản xuất công nghiệp tăng 7,5-8,5%  so năm 2015.</t>
  </si>
  <si>
    <t>ĐVT: Triệu đồng</t>
  </si>
  <si>
    <t>Kỳ gốc 2014</t>
  </si>
  <si>
    <t xml:space="preserve">Ghi chú: KH năm 2016, GTSXCN của tỉnh (giá ss 2010) đạt khoảng 658- 662 ngàn tỷ đồng, tăng 11-13% so năm 2015. </t>
  </si>
  <si>
    <t>Kim ngạch nhập khẩu toàn tỉnh đạt khoảng 14,1- 14,3 tỷ USD, tăng từ 9 - 11% so năm 2015.</t>
  </si>
  <si>
    <t>Ghi chú: KH năm 2016, Kim ngạch xuất khẩu toàn tỉnh đạt khoảng 15,8 - 16,2 tỷ USD, tăng từ 10 - 12% so năm 2015</t>
  </si>
  <si>
    <t>ĐVT: %</t>
  </si>
  <si>
    <t>Chỉ số giá tiêu dùng</t>
  </si>
  <si>
    <t>3. May mặc, mũ nón, giáy dép</t>
  </si>
  <si>
    <t>BIỂU CHỈ SỐ GIÁ CẢ HÀNG HÓA, DỊCH VỤ THÁNG 08/2016</t>
  </si>
  <si>
    <t>Chỉ số giá tháng 08/2016 so với (%)</t>
  </si>
  <si>
    <t>BIỂU TỔNG MỨC BÁN LẺ HÀNG HÓA, DOANH THU DỊCH VỤ THÁNG 09/2016</t>
  </si>
  <si>
    <t>Chính thức tháng 08/2016</t>
  </si>
  <si>
    <t>Ước tính tháng 09/2016</t>
  </si>
  <si>
    <t>Ước tính 09 tháng năm 2016</t>
  </si>
  <si>
    <t>Chính thức  09 tháng năm 2015</t>
  </si>
  <si>
    <t>Ước tính năm 2016</t>
  </si>
  <si>
    <t>Tháng 09/2016 so tháng trước</t>
  </si>
  <si>
    <t>Ước 09 tháng năm 2016 so KH</t>
  </si>
  <si>
    <t>Ước năm 2016 so KH</t>
  </si>
  <si>
    <t>Chính thức năm 2015</t>
  </si>
  <si>
    <t>BIỂU CHỈ SỐ SẢN XUẤT CÔNG NGHIỆP (IIP) CỦA TỈNH THÁNG 09/2016</t>
  </si>
  <si>
    <t>Tháng 08/2016 so với cùng kỳ</t>
  </si>
  <si>
    <t>Tháng 09/2016 so với</t>
  </si>
  <si>
    <t>Lũy kế 09 tháng 2016 so CK</t>
  </si>
  <si>
    <t>BIỂU GIÁ TRỊ SẢN XUẤT CÔNG NGHIỆP THÁNG 09/2016</t>
  </si>
  <si>
    <t>Ước 09 tháng năm 2016</t>
  </si>
  <si>
    <t>Chính thức 09 tháng năm 2015</t>
  </si>
  <si>
    <t>09 tháng năm 2016 so với CK (%)</t>
  </si>
  <si>
    <t>BIỂU KIM NGẠCH XUẤT KHẨU, NHẬP KHẨU TRÊN ĐỊA BÀN THÁNG 09/2016</t>
  </si>
  <si>
    <t>Ch/thức tháng 08/2016</t>
  </si>
  <si>
    <t>Ước tháng 09/2016</t>
  </si>
  <si>
    <t>09 tháng năm 2016 so CKỳ</t>
  </si>
  <si>
    <t>Tháng 09/2016 so tháng 08/2016</t>
  </si>
  <si>
    <t>Ước năm 2016</t>
  </si>
  <si>
    <t>9T2015</t>
  </si>
  <si>
    <t>9T2016 so CK</t>
  </si>
  <si>
    <t>Năm 2016 so CKỳ</t>
  </si>
  <si>
    <t>Ước 09 tháng 2016 so CKỳ</t>
  </si>
  <si>
    <t>Ước năm 2016 so CKỳ</t>
  </si>
  <si>
    <t>lượng</t>
  </si>
  <si>
    <t>giá trị</t>
  </si>
  <si>
    <t>TH 2015</t>
  </si>
  <si>
    <t>Ước Năm 2015</t>
  </si>
  <si>
    <t>cơ cấu</t>
  </si>
  <si>
    <t>giả sử tăng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</si>
</sst>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;[Red]#,##0"/>
    <numFmt numFmtId="183" formatCode="#,##0.0;[Red]#,##0.0"/>
    <numFmt numFmtId="184" formatCode="#,##0.00;[Red]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"/>
    <numFmt numFmtId="190" formatCode="0.0000"/>
    <numFmt numFmtId="191" formatCode="0.000"/>
    <numFmt numFmtId="192" formatCode="0.000000"/>
    <numFmt numFmtId="193" formatCode="_(* #,##0.0_);_(* \(#,##0.0\);_(* &quot;-&quot;??_);_(@_)"/>
    <numFmt numFmtId="194" formatCode="_(* #,##0_);_(* \(#,##0\);_(* &quot;-&quot;??_);_(@_)"/>
    <numFmt numFmtId="195" formatCode="#,##0.000"/>
    <numFmt numFmtId="196" formatCode="#,##0.0;\-#,##0.0"/>
    <numFmt numFmtId="197" formatCode="#,##0.0000"/>
    <numFmt numFmtId="198" formatCode="_(* #,##0.000_);_(* \(#,##0.000\);_(* &quot;-&quot;??_);_(@_)"/>
    <numFmt numFmtId="199" formatCode="_(* #,##0.0000_);_(* \(#,##0.0000\);_(* &quot;-&quot;??_);_(@_)"/>
    <numFmt numFmtId="200" formatCode="_-* #,##0.000\ _₫_-;\-* #,##0.000\ _₫_-;_-* &quot;-&quot;???\ _₫_-;_-@_-"/>
    <numFmt numFmtId="201" formatCode="#,##0.000;[Red]#,##0.000"/>
    <numFmt numFmtId="202" formatCode="_-* #,##0.00\ _₫_-;\-* #,##0.00\ _₫_-;_-* &quot;-&quot;???\ _₫_-;_-@_-"/>
    <numFmt numFmtId="203" formatCode="_-* #,##0.0\ _₫_-;\-* #,##0.0\ _₫_-;_-* &quot;-&quot;???\ _₫_-;_-@_-"/>
    <numFmt numFmtId="204" formatCode="0.0000000"/>
    <numFmt numFmtId="205" formatCode="_-* #,##0.000_-;\-* #,##0.000_-;_-* &quot;-&quot;???_-;_-@_-"/>
    <numFmt numFmtId="206" formatCode="_-* #,##0.00_-;\-* #,##0.00_-;_-* &quot;-&quot;???_-;_-@_-"/>
    <numFmt numFmtId="207" formatCode="_-* #,##0.0_-;\-* #,##0.0_-;_-* &quot;-&quot;???_-;_-@_-"/>
    <numFmt numFmtId="208" formatCode="_-* #,##0_-;\-* #,##0_-;_-* &quot;-&quot;???_-;_-@_-"/>
    <numFmt numFmtId="209" formatCode="_-* #,##0\ _₫_-;\-* #,##0\ _₫_-;_-* &quot;-&quot;???\ _₫_-;_-@_-"/>
    <numFmt numFmtId="210" formatCode="_-* #,##0.0\ _₫_-;\-* #,##0.0\ _₫_-;_-* &quot;-&quot;?\ _₫_-;_-@_-"/>
    <numFmt numFmtId="211" formatCode="_-* #,##0.0000\ _₫_-;\-* #,##0.0000\ _₫_-;_-* &quot;-&quot;???\ _₫_-;_-@_-"/>
    <numFmt numFmtId="212" formatCode="_-* #,##0.00000\ _₫_-;\-* #,##0.00000\ _₫_-;_-* &quot;-&quot;???\ _₫_-;_-@_-"/>
    <numFmt numFmtId="213" formatCode="_-* #,##0.00000\ _₫_-;\-* #,##0.00000\ _₫_-;_-* &quot;-&quot;?????\ _₫_-;_-@_-"/>
    <numFmt numFmtId="214" formatCode="_-* #,##0.000000\ _₫_-;\-* #,##0.000000\ _₫_-;_-* &quot;-&quot;???\ _₫_-;_-@_-"/>
    <numFmt numFmtId="215" formatCode="_-* #,##0.0000_-;\-* #,##0.0000_-;_-* &quot;-&quot;???_-;_-@_-"/>
    <numFmt numFmtId="216" formatCode="0.00000000"/>
    <numFmt numFmtId="217" formatCode="0.000000000"/>
    <numFmt numFmtId="218" formatCode="_-* #,##0.0\ _₫_-;\-* #,##0.0\ _₫_-;_-* &quot;-&quot;??\ _₫_-;_-@_-"/>
    <numFmt numFmtId="219" formatCode="#,##0.00_ ;\-#,##0.00\ "/>
    <numFmt numFmtId="220" formatCode="_-* #,##0\ _₫_-;\-* #,##0\ _₫_-;_-* &quot;-&quot;??\ _₫_-;_-@_-"/>
  </numFmts>
  <fonts count="81">
    <font>
      <sz val="13"/>
      <name val=".VnTime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3"/>
      <name val=".VnTime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8"/>
      <name val=".VnTime"/>
      <family val="2"/>
    </font>
    <font>
      <b/>
      <i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name val=".VnTime"/>
      <family val="2"/>
    </font>
    <font>
      <sz val="13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.VnTime"/>
      <family val="2"/>
    </font>
    <font>
      <sz val="11"/>
      <name val=".VnTime"/>
      <family val="2"/>
    </font>
    <font>
      <sz val="9"/>
      <name val="Times New Roman"/>
      <family val="1"/>
    </font>
    <font>
      <sz val="10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2"/>
      <color indexed="10"/>
      <name val="Times New Roman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1"/>
      <color indexed="1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sz val="10"/>
      <color indexed="10"/>
      <name val="Cambria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4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8" applyNumberFormat="0" applyFill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73" fillId="27" borderId="10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11" applyNumberFormat="0" applyFill="0" applyAlignment="0" applyProtection="0"/>
    <xf numFmtId="0" fontId="76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1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4" fillId="0" borderId="12" xfId="0" applyFont="1" applyBorder="1" applyAlignment="1">
      <alignment vertical="center"/>
    </xf>
    <xf numFmtId="4" fontId="14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0" fontId="6" fillId="0" borderId="13" xfId="0" applyFont="1" applyBorder="1" applyAlignment="1">
      <alignment vertical="center"/>
    </xf>
    <xf numFmtId="4" fontId="6" fillId="0" borderId="13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14" fillId="0" borderId="13" xfId="0" applyFont="1" applyBorder="1" applyAlignment="1">
      <alignment vertical="center"/>
    </xf>
    <xf numFmtId="0" fontId="8" fillId="0" borderId="0" xfId="0" applyFont="1" applyAlignment="1">
      <alignment/>
    </xf>
    <xf numFmtId="0" fontId="14" fillId="0" borderId="14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8" fillId="0" borderId="15" xfId="0" applyFont="1" applyBorder="1" applyAlignment="1">
      <alignment/>
    </xf>
    <xf numFmtId="4" fontId="14" fillId="0" borderId="13" xfId="0" applyNumberFormat="1" applyFont="1" applyBorder="1" applyAlignment="1">
      <alignment horizontal="right" vertical="center"/>
    </xf>
    <xf numFmtId="4" fontId="14" fillId="0" borderId="14" xfId="0" applyNumberFormat="1" applyFont="1" applyBorder="1" applyAlignment="1">
      <alignment horizontal="right" vertical="center"/>
    </xf>
    <xf numFmtId="0" fontId="6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/>
    </xf>
    <xf numFmtId="0" fontId="6" fillId="0" borderId="15" xfId="0" applyFont="1" applyBorder="1" applyAlignment="1" applyProtection="1">
      <alignment horizont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180" fontId="6" fillId="0" borderId="0" xfId="0" applyNumberFormat="1" applyFont="1" applyAlignment="1">
      <alignment/>
    </xf>
    <xf numFmtId="0" fontId="15" fillId="33" borderId="16" xfId="0" applyFont="1" applyFill="1" applyBorder="1" applyAlignment="1" applyProtection="1">
      <alignment horizontal="center" vertical="center" wrapText="1"/>
      <protection/>
    </xf>
    <xf numFmtId="0" fontId="16" fillId="33" borderId="16" xfId="0" applyFont="1" applyFill="1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>
      <alignment horizontal="justify" vertical="center"/>
    </xf>
    <xf numFmtId="0" fontId="11" fillId="0" borderId="17" xfId="0" applyFont="1" applyBorder="1" applyAlignment="1">
      <alignment horizontal="justify" vertical="center"/>
    </xf>
    <xf numFmtId="0" fontId="0" fillId="0" borderId="0" xfId="0" applyFont="1" applyAlignment="1">
      <alignment/>
    </xf>
    <xf numFmtId="4" fontId="9" fillId="0" borderId="12" xfId="0" applyNumberFormat="1" applyFont="1" applyBorder="1" applyAlignment="1">
      <alignment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7" fillId="0" borderId="0" xfId="0" applyFont="1" applyFill="1" applyAlignment="1">
      <alignment/>
    </xf>
    <xf numFmtId="0" fontId="6" fillId="0" borderId="13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0" xfId="0" applyFont="1" applyAlignment="1">
      <alignment vertical="center"/>
    </xf>
    <xf numFmtId="194" fontId="21" fillId="34" borderId="13" xfId="43" applyNumberFormat="1" applyFont="1" applyFill="1" applyBorder="1" applyAlignment="1">
      <alignment horizontal="right" vertical="center"/>
    </xf>
    <xf numFmtId="194" fontId="22" fillId="34" borderId="13" xfId="43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/>
    </xf>
    <xf numFmtId="194" fontId="6" fillId="0" borderId="13" xfId="43" applyNumberFormat="1" applyFont="1" applyBorder="1" applyAlignment="1" applyProtection="1">
      <alignment horizontal="left" vertical="center" wrapText="1"/>
      <protection/>
    </xf>
    <xf numFmtId="194" fontId="6" fillId="0" borderId="14" xfId="43" applyNumberFormat="1" applyFont="1" applyBorder="1" applyAlignment="1" applyProtection="1">
      <alignment horizontal="left" vertical="center" wrapText="1"/>
      <protection/>
    </xf>
    <xf numFmtId="194" fontId="8" fillId="0" borderId="12" xfId="43" applyNumberFormat="1" applyFont="1" applyBorder="1" applyAlignment="1" applyProtection="1">
      <alignment horizontal="left" vertical="center" wrapText="1"/>
      <protection/>
    </xf>
    <xf numFmtId="194" fontId="8" fillId="0" borderId="13" xfId="43" applyNumberFormat="1" applyFont="1" applyBorder="1" applyAlignment="1" applyProtection="1">
      <alignment horizontal="left" vertical="center" wrapText="1"/>
      <protection/>
    </xf>
    <xf numFmtId="0" fontId="20" fillId="0" borderId="0" xfId="0" applyFont="1" applyAlignment="1">
      <alignment/>
    </xf>
    <xf numFmtId="0" fontId="20" fillId="0" borderId="0" xfId="0" applyFont="1" applyAlignment="1" applyProtection="1">
      <alignment vertical="center"/>
      <protection/>
    </xf>
    <xf numFmtId="0" fontId="20" fillId="0" borderId="18" xfId="0" applyFont="1" applyFill="1" applyBorder="1" applyAlignment="1">
      <alignment/>
    </xf>
    <xf numFmtId="2" fontId="24" fillId="34" borderId="13" xfId="0" applyNumberFormat="1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9" fillId="0" borderId="20" xfId="0" applyFont="1" applyBorder="1" applyAlignment="1">
      <alignment horizontal="centerContinuous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/>
    </xf>
    <xf numFmtId="39" fontId="46" fillId="0" borderId="12" xfId="0" applyNumberFormat="1" applyFont="1" applyFill="1" applyBorder="1" applyAlignment="1" applyProtection="1">
      <alignment horizontal="right" vertical="center"/>
      <protection/>
    </xf>
    <xf numFmtId="181" fontId="47" fillId="0" borderId="13" xfId="0" applyNumberFormat="1" applyFont="1" applyFill="1" applyBorder="1" applyAlignment="1" applyProtection="1">
      <alignment horizontal="right"/>
      <protection/>
    </xf>
    <xf numFmtId="39" fontId="47" fillId="0" borderId="13" xfId="0" applyNumberFormat="1" applyFont="1" applyFill="1" applyBorder="1" applyAlignment="1" applyProtection="1">
      <alignment horizontal="right" vertical="center"/>
      <protection/>
    </xf>
    <xf numFmtId="39" fontId="47" fillId="0" borderId="14" xfId="0" applyNumberFormat="1" applyFont="1" applyFill="1" applyBorder="1" applyAlignment="1" applyProtection="1">
      <alignment horizontal="right" vertical="center"/>
      <protection/>
    </xf>
    <xf numFmtId="194" fontId="22" fillId="34" borderId="13" xfId="43" applyNumberFormat="1" applyFont="1" applyFill="1" applyBorder="1" applyAlignment="1">
      <alignment horizontal="center" vertical="center"/>
    </xf>
    <xf numFmtId="198" fontId="17" fillId="0" borderId="0" xfId="0" applyNumberFormat="1" applyFont="1" applyAlignment="1">
      <alignment/>
    </xf>
    <xf numFmtId="194" fontId="22" fillId="0" borderId="13" xfId="43" applyNumberFormat="1" applyFont="1" applyFill="1" applyBorder="1" applyAlignment="1">
      <alignment horizontal="center" vertical="center"/>
    </xf>
    <xf numFmtId="4" fontId="14" fillId="0" borderId="13" xfId="0" applyNumberFormat="1" applyFont="1" applyBorder="1" applyAlignment="1">
      <alignment horizontal="right" vertical="center"/>
    </xf>
    <xf numFmtId="194" fontId="21" fillId="0" borderId="13" xfId="43" applyNumberFormat="1" applyFont="1" applyBorder="1" applyAlignment="1">
      <alignment vertical="center"/>
    </xf>
    <xf numFmtId="179" fontId="21" fillId="0" borderId="13" xfId="43" applyFont="1" applyBorder="1" applyAlignment="1">
      <alignment vertical="center"/>
    </xf>
    <xf numFmtId="194" fontId="22" fillId="0" borderId="13" xfId="43" applyNumberFormat="1" applyFont="1" applyFill="1" applyBorder="1" applyAlignment="1">
      <alignment vertical="center"/>
    </xf>
    <xf numFmtId="179" fontId="22" fillId="0" borderId="13" xfId="43" applyFont="1" applyFill="1" applyBorder="1" applyAlignment="1">
      <alignment vertical="center"/>
    </xf>
    <xf numFmtId="194" fontId="22" fillId="0" borderId="13" xfId="43" applyNumberFormat="1" applyFont="1" applyBorder="1" applyAlignment="1">
      <alignment vertical="center"/>
    </xf>
    <xf numFmtId="179" fontId="22" fillId="0" borderId="13" xfId="43" applyFont="1" applyBorder="1" applyAlignment="1">
      <alignment vertical="center"/>
    </xf>
    <xf numFmtId="194" fontId="22" fillId="35" borderId="13" xfId="43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79" fontId="21" fillId="0" borderId="13" xfId="43" applyFont="1" applyFill="1" applyBorder="1" applyAlignment="1">
      <alignment vertical="center"/>
    </xf>
    <xf numFmtId="184" fontId="21" fillId="34" borderId="13" xfId="0" applyNumberFormat="1" applyFont="1" applyFill="1" applyBorder="1" applyAlignment="1">
      <alignment horizontal="right" vertical="center"/>
    </xf>
    <xf numFmtId="184" fontId="21" fillId="0" borderId="13" xfId="43" applyNumberFormat="1" applyFont="1" applyBorder="1" applyAlignment="1">
      <alignment horizontal="right" vertical="center"/>
    </xf>
    <xf numFmtId="201" fontId="21" fillId="0" borderId="13" xfId="43" applyNumberFormat="1" applyFont="1" applyBorder="1" applyAlignment="1">
      <alignment horizontal="right" vertical="center"/>
    </xf>
    <xf numFmtId="201" fontId="21" fillId="34" borderId="13" xfId="0" applyNumberFormat="1" applyFont="1" applyFill="1" applyBorder="1" applyAlignment="1">
      <alignment horizontal="right" vertical="center"/>
    </xf>
    <xf numFmtId="184" fontId="22" fillId="0" borderId="13" xfId="43" applyNumberFormat="1" applyFont="1" applyFill="1" applyBorder="1" applyAlignment="1">
      <alignment horizontal="right" vertical="center"/>
    </xf>
    <xf numFmtId="201" fontId="22" fillId="0" borderId="13" xfId="43" applyNumberFormat="1" applyFont="1" applyFill="1" applyBorder="1" applyAlignment="1">
      <alignment horizontal="right" vertical="center"/>
    </xf>
    <xf numFmtId="201" fontId="22" fillId="0" borderId="13" xfId="43" applyNumberFormat="1" applyFont="1" applyBorder="1" applyAlignment="1">
      <alignment horizontal="right" vertical="center"/>
    </xf>
    <xf numFmtId="201" fontId="22" fillId="0" borderId="13" xfId="43" applyNumberFormat="1" applyFont="1" applyFill="1" applyBorder="1" applyAlignment="1" quotePrefix="1">
      <alignment horizontal="right" vertical="center"/>
    </xf>
    <xf numFmtId="194" fontId="22" fillId="35" borderId="21" xfId="43" applyNumberFormat="1" applyFont="1" applyFill="1" applyBorder="1" applyAlignment="1">
      <alignment vertical="center"/>
    </xf>
    <xf numFmtId="0" fontId="12" fillId="0" borderId="13" xfId="0" applyFont="1" applyFill="1" applyBorder="1" applyAlignment="1" applyProtection="1">
      <alignment horizontal="left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/>
      <protection/>
    </xf>
    <xf numFmtId="2" fontId="8" fillId="0" borderId="12" xfId="0" applyNumberFormat="1" applyFont="1" applyBorder="1" applyAlignment="1" applyProtection="1">
      <alignment horizontal="right" vertical="center" wrapText="1"/>
      <protection/>
    </xf>
    <xf numFmtId="2" fontId="8" fillId="0" borderId="13" xfId="43" applyNumberFormat="1" applyFont="1" applyBorder="1" applyAlignment="1" applyProtection="1">
      <alignment horizontal="right" vertical="center" wrapText="1"/>
      <protection/>
    </xf>
    <xf numFmtId="0" fontId="9" fillId="0" borderId="2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/>
    </xf>
    <xf numFmtId="0" fontId="22" fillId="0" borderId="13" xfId="0" applyFont="1" applyFill="1" applyBorder="1" applyAlignment="1" quotePrefix="1">
      <alignment vertical="center" wrapText="1"/>
    </xf>
    <xf numFmtId="0" fontId="24" fillId="0" borderId="22" xfId="0" applyFont="1" applyFill="1" applyBorder="1" applyAlignment="1">
      <alignment horizontal="center" vertical="center"/>
    </xf>
    <xf numFmtId="0" fontId="22" fillId="0" borderId="13" xfId="0" applyFont="1" applyBorder="1" applyAlignment="1" quotePrefix="1">
      <alignment vertical="center" wrapText="1"/>
    </xf>
    <xf numFmtId="0" fontId="24" fillId="0" borderId="2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horizontal="center" vertical="center"/>
    </xf>
    <xf numFmtId="179" fontId="22" fillId="0" borderId="13" xfId="43" applyNumberFormat="1" applyFont="1" applyFill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12" fillId="0" borderId="13" xfId="0" applyFont="1" applyFill="1" applyBorder="1" applyAlignment="1" quotePrefix="1">
      <alignment vertical="center" wrapText="1"/>
    </xf>
    <xf numFmtId="0" fontId="12" fillId="0" borderId="13" xfId="0" applyFont="1" applyBorder="1" applyAlignment="1" quotePrefix="1">
      <alignment vertical="center" wrapText="1"/>
    </xf>
    <xf numFmtId="183" fontId="24" fillId="34" borderId="13" xfId="0" applyNumberFormat="1" applyFont="1" applyFill="1" applyBorder="1" applyAlignment="1">
      <alignment horizontal="center" vertical="center"/>
    </xf>
    <xf numFmtId="183" fontId="24" fillId="34" borderId="21" xfId="0" applyNumberFormat="1" applyFont="1" applyFill="1" applyBorder="1" applyAlignment="1">
      <alignment horizontal="center" vertical="center"/>
    </xf>
    <xf numFmtId="194" fontId="22" fillId="0" borderId="21" xfId="43" applyNumberFormat="1" applyFont="1" applyBorder="1" applyAlignment="1">
      <alignment vertical="center"/>
    </xf>
    <xf numFmtId="183" fontId="24" fillId="34" borderId="14" xfId="0" applyNumberFormat="1" applyFont="1" applyFill="1" applyBorder="1" applyAlignment="1">
      <alignment horizontal="center" vertical="center"/>
    </xf>
    <xf numFmtId="194" fontId="22" fillId="0" borderId="14" xfId="43" applyNumberFormat="1" applyFont="1" applyBorder="1" applyAlignment="1">
      <alignment vertical="center"/>
    </xf>
    <xf numFmtId="194" fontId="22" fillId="35" borderId="13" xfId="43" applyNumberFormat="1" applyFont="1" applyFill="1" applyBorder="1" applyAlignment="1" quotePrefix="1">
      <alignment horizontal="right" vertical="center"/>
    </xf>
    <xf numFmtId="179" fontId="22" fillId="34" borderId="13" xfId="43" applyFont="1" applyFill="1" applyBorder="1" applyAlignment="1">
      <alignment vertical="center"/>
    </xf>
    <xf numFmtId="179" fontId="21" fillId="34" borderId="13" xfId="43" applyFont="1" applyFill="1" applyBorder="1" applyAlignment="1">
      <alignment vertical="center"/>
    </xf>
    <xf numFmtId="194" fontId="21" fillId="34" borderId="13" xfId="43" applyNumberFormat="1" applyFont="1" applyFill="1" applyBorder="1" applyAlignment="1">
      <alignment vertical="center"/>
    </xf>
    <xf numFmtId="0" fontId="22" fillId="0" borderId="13" xfId="0" applyFont="1" applyBorder="1" applyAlignment="1">
      <alignment/>
    </xf>
    <xf numFmtId="194" fontId="22" fillId="35" borderId="21" xfId="43" applyNumberFormat="1" applyFont="1" applyFill="1" applyBorder="1" applyAlignment="1" quotePrefix="1">
      <alignment horizontal="right" vertical="center"/>
    </xf>
    <xf numFmtId="179" fontId="22" fillId="34" borderId="21" xfId="43" applyFont="1" applyFill="1" applyBorder="1" applyAlignment="1">
      <alignment vertical="center"/>
    </xf>
    <xf numFmtId="194" fontId="22" fillId="35" borderId="14" xfId="43" applyNumberFormat="1" applyFont="1" applyFill="1" applyBorder="1" applyAlignment="1">
      <alignment vertical="center"/>
    </xf>
    <xf numFmtId="194" fontId="22" fillId="35" borderId="14" xfId="43" applyNumberFormat="1" applyFont="1" applyFill="1" applyBorder="1" applyAlignment="1" quotePrefix="1">
      <alignment horizontal="right" vertical="center"/>
    </xf>
    <xf numFmtId="4" fontId="1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6" fillId="0" borderId="13" xfId="0" applyNumberFormat="1" applyFont="1" applyFill="1" applyBorder="1" applyAlignment="1">
      <alignment horizontal="right" vertical="center"/>
    </xf>
    <xf numFmtId="179" fontId="22" fillId="0" borderId="13" xfId="43" applyNumberFormat="1" applyFont="1" applyBorder="1" applyAlignment="1">
      <alignment vertical="center"/>
    </xf>
    <xf numFmtId="198" fontId="22" fillId="0" borderId="13" xfId="43" applyNumberFormat="1" applyFont="1" applyFill="1" applyBorder="1" applyAlignment="1">
      <alignment vertical="center"/>
    </xf>
    <xf numFmtId="219" fontId="6" fillId="0" borderId="0" xfId="0" applyNumberFormat="1" applyFont="1" applyAlignment="1" applyProtection="1">
      <alignment horizontal="left" vertical="center" wrapText="1"/>
      <protection/>
    </xf>
    <xf numFmtId="171" fontId="26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Alignment="1" applyProtection="1">
      <alignment horizontal="left" vertical="center" wrapText="1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39" fontId="47" fillId="0" borderId="13" xfId="0" applyNumberFormat="1" applyFont="1" applyFill="1" applyBorder="1" applyAlignment="1" applyProtection="1">
      <alignment horizontal="right" vertical="center"/>
      <protection/>
    </xf>
    <xf numFmtId="0" fontId="27" fillId="0" borderId="16" xfId="0" applyFont="1" applyBorder="1" applyAlignment="1">
      <alignment horizontal="center" vertical="center"/>
    </xf>
    <xf numFmtId="0" fontId="21" fillId="33" borderId="16" xfId="0" applyFont="1" applyFill="1" applyBorder="1" applyAlignment="1" applyProtection="1">
      <alignment horizontal="center" vertical="center" wrapText="1"/>
      <protection/>
    </xf>
    <xf numFmtId="0" fontId="22" fillId="34" borderId="13" xfId="0" applyFont="1" applyFill="1" applyBorder="1" applyAlignment="1">
      <alignment horizontal="left" vertical="center" wrapText="1"/>
    </xf>
    <xf numFmtId="0" fontId="22" fillId="0" borderId="0" xfId="0" applyFont="1" applyAlignment="1">
      <alignment/>
    </xf>
    <xf numFmtId="2" fontId="22" fillId="34" borderId="13" xfId="0" applyNumberFormat="1" applyFont="1" applyFill="1" applyBorder="1" applyAlignment="1">
      <alignment horizontal="left" vertical="center" wrapText="1"/>
    </xf>
    <xf numFmtId="194" fontId="1" fillId="35" borderId="13" xfId="43" applyNumberFormat="1" applyFont="1" applyFill="1" applyBorder="1" applyAlignment="1">
      <alignment vertical="center" wrapText="1"/>
    </xf>
    <xf numFmtId="193" fontId="21" fillId="0" borderId="13" xfId="43" applyNumberFormat="1" applyFont="1" applyBorder="1" applyAlignment="1">
      <alignment vertical="center"/>
    </xf>
    <xf numFmtId="193" fontId="22" fillId="0" borderId="13" xfId="43" applyNumberFormat="1" applyFont="1" applyBorder="1" applyAlignment="1">
      <alignment vertical="center"/>
    </xf>
    <xf numFmtId="193" fontId="22" fillId="0" borderId="13" xfId="0" applyNumberFormat="1" applyFont="1" applyBorder="1" applyAlignment="1">
      <alignment vertical="center"/>
    </xf>
    <xf numFmtId="193" fontId="22" fillId="0" borderId="13" xfId="0" applyNumberFormat="1" applyFont="1" applyFill="1" applyBorder="1" applyAlignment="1">
      <alignment vertical="center"/>
    </xf>
    <xf numFmtId="193" fontId="22" fillId="0" borderId="14" xfId="43" applyNumberFormat="1" applyFont="1" applyBorder="1" applyAlignment="1">
      <alignment vertical="center"/>
    </xf>
    <xf numFmtId="193" fontId="22" fillId="34" borderId="13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right" vertical="center"/>
    </xf>
    <xf numFmtId="4" fontId="9" fillId="0" borderId="22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/>
    </xf>
    <xf numFmtId="181" fontId="17" fillId="0" borderId="0" xfId="0" applyNumberFormat="1" applyFont="1" applyFill="1" applyAlignment="1">
      <alignment/>
    </xf>
    <xf numFmtId="171" fontId="17" fillId="0" borderId="0" xfId="0" applyNumberFormat="1" applyFont="1" applyFill="1" applyAlignment="1">
      <alignment/>
    </xf>
    <xf numFmtId="220" fontId="17" fillId="0" borderId="0" xfId="0" applyNumberFormat="1" applyFont="1" applyFill="1" applyAlignment="1">
      <alignment/>
    </xf>
    <xf numFmtId="194" fontId="22" fillId="0" borderId="0" xfId="43" applyNumberFormat="1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/>
    </xf>
    <xf numFmtId="0" fontId="17" fillId="0" borderId="0" xfId="0" applyFont="1" applyFill="1" applyAlignment="1" quotePrefix="1">
      <alignment horizontal="right"/>
    </xf>
    <xf numFmtId="0" fontId="2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181" fontId="17" fillId="0" borderId="0" xfId="0" applyNumberFormat="1" applyFont="1" applyFill="1" applyBorder="1" applyAlignment="1">
      <alignment/>
    </xf>
    <xf numFmtId="171" fontId="17" fillId="0" borderId="0" xfId="0" applyNumberFormat="1" applyFont="1" applyFill="1" applyBorder="1" applyAlignment="1">
      <alignment/>
    </xf>
    <xf numFmtId="194" fontId="22" fillId="0" borderId="0" xfId="43" applyNumberFormat="1" applyFont="1" applyFill="1" applyBorder="1" applyAlignment="1">
      <alignment/>
    </xf>
    <xf numFmtId="0" fontId="21" fillId="34" borderId="18" xfId="0" applyFont="1" applyFill="1" applyBorder="1" applyAlignment="1" applyProtection="1">
      <alignment horizontal="center" vertical="center" wrapText="1"/>
      <protection/>
    </xf>
    <xf numFmtId="0" fontId="21" fillId="33" borderId="16" xfId="0" applyFont="1" applyFill="1" applyBorder="1" applyAlignment="1" applyProtection="1">
      <alignment horizontal="center" vertical="center" wrapText="1"/>
      <protection/>
    </xf>
    <xf numFmtId="0" fontId="21" fillId="33" borderId="24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>
      <alignment horizontal="left"/>
    </xf>
    <xf numFmtId="0" fontId="12" fillId="0" borderId="13" xfId="0" applyFont="1" applyFill="1" applyBorder="1" applyAlignment="1">
      <alignment/>
    </xf>
    <xf numFmtId="0" fontId="77" fillId="0" borderId="0" xfId="0" applyFont="1" applyAlignment="1" applyProtection="1">
      <alignment horizontal="left" vertical="center" wrapText="1"/>
      <protection/>
    </xf>
    <xf numFmtId="4" fontId="6" fillId="0" borderId="13" xfId="0" applyNumberFormat="1" applyFont="1" applyBorder="1" applyAlignment="1">
      <alignment horizontal="right" vertical="center"/>
    </xf>
    <xf numFmtId="2" fontId="6" fillId="0" borderId="13" xfId="43" applyNumberFormat="1" applyFont="1" applyBorder="1" applyAlignment="1" applyProtection="1">
      <alignment horizontal="right" vertical="center" wrapText="1"/>
      <protection/>
    </xf>
    <xf numFmtId="2" fontId="6" fillId="0" borderId="14" xfId="43" applyNumberFormat="1" applyFont="1" applyBorder="1" applyAlignment="1" applyProtection="1">
      <alignment horizontal="right" vertical="center" wrapText="1"/>
      <protection/>
    </xf>
    <xf numFmtId="2" fontId="6" fillId="0" borderId="13" xfId="0" applyNumberFormat="1" applyFont="1" applyBorder="1" applyAlignment="1" applyProtection="1">
      <alignment horizontal="right" vertical="center" wrapText="1"/>
      <protection/>
    </xf>
    <xf numFmtId="179" fontId="12" fillId="0" borderId="0" xfId="43" applyFont="1" applyFill="1" applyBorder="1" applyAlignment="1">
      <alignment/>
    </xf>
    <xf numFmtId="0" fontId="12" fillId="0" borderId="0" xfId="0" applyFont="1" applyFill="1" applyBorder="1" applyAlignment="1">
      <alignment/>
    </xf>
    <xf numFmtId="181" fontId="12" fillId="0" borderId="0" xfId="0" applyNumberFormat="1" applyFont="1" applyFill="1" applyBorder="1" applyAlignment="1">
      <alignment/>
    </xf>
    <xf numFmtId="202" fontId="22" fillId="0" borderId="0" xfId="0" applyNumberFormat="1" applyFont="1" applyFill="1" applyBorder="1" applyAlignment="1">
      <alignment/>
    </xf>
    <xf numFmtId="210" fontId="12" fillId="0" borderId="0" xfId="0" applyNumberFormat="1" applyFont="1" applyFill="1" applyBorder="1" applyAlignment="1">
      <alignment/>
    </xf>
    <xf numFmtId="203" fontId="12" fillId="0" borderId="0" xfId="0" applyNumberFormat="1" applyFont="1" applyFill="1" applyBorder="1" applyAlignment="1">
      <alignment/>
    </xf>
    <xf numFmtId="0" fontId="47" fillId="0" borderId="0" xfId="0" applyFont="1" applyBorder="1" applyAlignment="1">
      <alignment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/>
    </xf>
    <xf numFmtId="0" fontId="50" fillId="0" borderId="0" xfId="0" applyFont="1" applyAlignment="1">
      <alignment/>
    </xf>
    <xf numFmtId="0" fontId="49" fillId="0" borderId="13" xfId="0" applyFont="1" applyBorder="1" applyAlignment="1">
      <alignment/>
    </xf>
    <xf numFmtId="0" fontId="47" fillId="0" borderId="13" xfId="0" applyFont="1" applyBorder="1" applyAlignment="1">
      <alignment/>
    </xf>
    <xf numFmtId="0" fontId="50" fillId="0" borderId="13" xfId="0" applyFont="1" applyBorder="1" applyAlignment="1">
      <alignment/>
    </xf>
    <xf numFmtId="0" fontId="51" fillId="0" borderId="0" xfId="0" applyFont="1" applyAlignment="1">
      <alignment/>
    </xf>
    <xf numFmtId="0" fontId="46" fillId="0" borderId="13" xfId="0" applyFont="1" applyBorder="1" applyAlignment="1">
      <alignment/>
    </xf>
    <xf numFmtId="0" fontId="47" fillId="0" borderId="0" xfId="0" applyFont="1" applyAlignment="1">
      <alignment/>
    </xf>
    <xf numFmtId="0" fontId="47" fillId="0" borderId="13" xfId="0" applyFont="1" applyBorder="1" applyAlignment="1" quotePrefix="1">
      <alignment/>
    </xf>
    <xf numFmtId="0" fontId="47" fillId="0" borderId="14" xfId="0" applyFont="1" applyBorder="1" applyAlignment="1">
      <alignment/>
    </xf>
    <xf numFmtId="0" fontId="50" fillId="0" borderId="13" xfId="0" applyFont="1" applyBorder="1" applyAlignment="1">
      <alignment wrapText="1"/>
    </xf>
    <xf numFmtId="3" fontId="52" fillId="0" borderId="12" xfId="0" applyNumberFormat="1" applyFont="1" applyBorder="1" applyAlignment="1">
      <alignment/>
    </xf>
    <xf numFmtId="179" fontId="53" fillId="0" borderId="12" xfId="43" applyFont="1" applyBorder="1" applyAlignment="1">
      <alignment/>
    </xf>
    <xf numFmtId="4" fontId="53" fillId="0" borderId="12" xfId="0" applyNumberFormat="1" applyFont="1" applyBorder="1" applyAlignment="1">
      <alignment/>
    </xf>
    <xf numFmtId="4" fontId="53" fillId="0" borderId="13" xfId="0" applyNumberFormat="1" applyFont="1" applyBorder="1" applyAlignment="1">
      <alignment/>
    </xf>
    <xf numFmtId="179" fontId="53" fillId="0" borderId="13" xfId="43" applyFont="1" applyBorder="1" applyAlignment="1">
      <alignment/>
    </xf>
    <xf numFmtId="4" fontId="53" fillId="0" borderId="13" xfId="0" applyNumberFormat="1" applyFont="1" applyBorder="1" applyAlignment="1">
      <alignment/>
    </xf>
    <xf numFmtId="4" fontId="53" fillId="0" borderId="12" xfId="0" applyNumberFormat="1" applyFont="1" applyBorder="1" applyAlignment="1">
      <alignment/>
    </xf>
    <xf numFmtId="4" fontId="53" fillId="0" borderId="24" xfId="0" applyNumberFormat="1" applyFont="1" applyBorder="1" applyAlignment="1">
      <alignment/>
    </xf>
    <xf numFmtId="3" fontId="52" fillId="0" borderId="13" xfId="0" applyNumberFormat="1" applyFont="1" applyBorder="1" applyAlignment="1">
      <alignment/>
    </xf>
    <xf numFmtId="4" fontId="53" fillId="0" borderId="22" xfId="60" applyNumberFormat="1" applyFont="1" applyFill="1" applyBorder="1" applyAlignment="1">
      <alignment horizontal="right"/>
      <protection/>
    </xf>
    <xf numFmtId="4" fontId="53" fillId="0" borderId="13" xfId="60" applyNumberFormat="1" applyFont="1" applyFill="1" applyBorder="1" applyAlignment="1">
      <alignment horizontal="right"/>
      <protection/>
    </xf>
    <xf numFmtId="0" fontId="54" fillId="0" borderId="13" xfId="0" applyFont="1" applyBorder="1" applyAlignment="1">
      <alignment/>
    </xf>
    <xf numFmtId="4" fontId="54" fillId="0" borderId="13" xfId="0" applyNumberFormat="1" applyFont="1" applyBorder="1" applyAlignment="1">
      <alignment/>
    </xf>
    <xf numFmtId="0" fontId="55" fillId="0" borderId="13" xfId="0" applyFont="1" applyBorder="1" applyAlignment="1">
      <alignment/>
    </xf>
    <xf numFmtId="3" fontId="55" fillId="0" borderId="13" xfId="43" applyNumberFormat="1" applyFont="1" applyBorder="1" applyAlignment="1">
      <alignment/>
    </xf>
    <xf numFmtId="2" fontId="54" fillId="0" borderId="13" xfId="0" applyNumberFormat="1" applyFont="1" applyBorder="1" applyAlignment="1">
      <alignment/>
    </xf>
    <xf numFmtId="4" fontId="54" fillId="0" borderId="13" xfId="60" applyNumberFormat="1" applyFont="1" applyBorder="1" applyAlignment="1">
      <alignment horizontal="right"/>
      <protection/>
    </xf>
    <xf numFmtId="179" fontId="54" fillId="0" borderId="13" xfId="43" applyFont="1" applyBorder="1" applyAlignment="1">
      <alignment/>
    </xf>
    <xf numFmtId="0" fontId="56" fillId="0" borderId="13" xfId="0" applyFont="1" applyBorder="1" applyAlignment="1">
      <alignment/>
    </xf>
    <xf numFmtId="4" fontId="54" fillId="0" borderId="13" xfId="0" applyNumberFormat="1" applyFont="1" applyBorder="1" applyAlignment="1">
      <alignment/>
    </xf>
    <xf numFmtId="3" fontId="54" fillId="0" borderId="13" xfId="0" applyNumberFormat="1" applyFont="1" applyBorder="1" applyAlignment="1" quotePrefix="1">
      <alignment/>
    </xf>
    <xf numFmtId="4" fontId="54" fillId="0" borderId="22" xfId="60" applyNumberFormat="1" applyFont="1" applyFill="1" applyBorder="1" applyAlignment="1">
      <alignment horizontal="right"/>
      <protection/>
    </xf>
    <xf numFmtId="4" fontId="54" fillId="0" borderId="13" xfId="60" applyNumberFormat="1" applyFont="1" applyFill="1" applyBorder="1" applyAlignment="1">
      <alignment horizontal="right"/>
      <protection/>
    </xf>
    <xf numFmtId="3" fontId="54" fillId="0" borderId="14" xfId="0" applyNumberFormat="1" applyFont="1" applyBorder="1" applyAlignment="1" quotePrefix="1">
      <alignment/>
    </xf>
    <xf numFmtId="4" fontId="54" fillId="0" borderId="14" xfId="60" applyNumberFormat="1" applyFont="1" applyFill="1" applyBorder="1" applyAlignment="1">
      <alignment horizontal="right"/>
      <protection/>
    </xf>
    <xf numFmtId="179" fontId="54" fillId="0" borderId="14" xfId="43" applyFont="1" applyBorder="1" applyAlignment="1">
      <alignment/>
    </xf>
    <xf numFmtId="4" fontId="54" fillId="0" borderId="14" xfId="0" applyNumberFormat="1" applyFont="1" applyBorder="1" applyAlignment="1">
      <alignment/>
    </xf>
    <xf numFmtId="0" fontId="54" fillId="0" borderId="14" xfId="0" applyFont="1" applyBorder="1" applyAlignment="1">
      <alignment/>
    </xf>
    <xf numFmtId="2" fontId="22" fillId="34" borderId="13" xfId="0" applyNumberFormat="1" applyFont="1" applyFill="1" applyBorder="1" applyAlignment="1">
      <alignment vertical="center" wrapText="1"/>
    </xf>
    <xf numFmtId="183" fontId="22" fillId="34" borderId="13" xfId="0" applyNumberFormat="1" applyFont="1" applyFill="1" applyBorder="1" applyAlignment="1">
      <alignment vertical="center" wrapText="1"/>
    </xf>
    <xf numFmtId="0" fontId="22" fillId="34" borderId="13" xfId="0" applyFont="1" applyFill="1" applyBorder="1" applyAlignment="1">
      <alignment vertical="center" wrapText="1"/>
    </xf>
    <xf numFmtId="183" fontId="22" fillId="34" borderId="21" xfId="0" applyNumberFormat="1" applyFont="1" applyFill="1" applyBorder="1" applyAlignment="1">
      <alignment vertical="center" wrapText="1"/>
    </xf>
    <xf numFmtId="183" fontId="22" fillId="34" borderId="14" xfId="0" applyNumberFormat="1" applyFont="1" applyFill="1" applyBorder="1" applyAlignment="1">
      <alignment vertical="center" wrapText="1"/>
    </xf>
    <xf numFmtId="193" fontId="22" fillId="34" borderId="13" xfId="43" applyNumberFormat="1" applyFont="1" applyFill="1" applyBorder="1" applyAlignment="1">
      <alignment horizontal="center" vertical="center"/>
    </xf>
    <xf numFmtId="194" fontId="78" fillId="0" borderId="0" xfId="43" applyNumberFormat="1" applyFont="1" applyFill="1" applyBorder="1" applyAlignment="1">
      <alignment horizontal="center" vertical="center"/>
    </xf>
    <xf numFmtId="194" fontId="78" fillId="0" borderId="0" xfId="43" applyNumberFormat="1" applyFont="1" applyFill="1" applyBorder="1" applyAlignment="1">
      <alignment/>
    </xf>
    <xf numFmtId="3" fontId="78" fillId="0" borderId="0" xfId="0" applyNumberFormat="1" applyFont="1" applyBorder="1" applyAlignment="1">
      <alignment vertical="center" wrapText="1"/>
    </xf>
    <xf numFmtId="194" fontId="79" fillId="0" borderId="0" xfId="43" applyNumberFormat="1" applyFont="1" applyFill="1" applyBorder="1" applyAlignment="1">
      <alignment/>
    </xf>
    <xf numFmtId="2" fontId="28" fillId="0" borderId="0" xfId="0" applyNumberFormat="1" applyFont="1" applyAlignment="1">
      <alignment/>
    </xf>
    <xf numFmtId="179" fontId="21" fillId="0" borderId="13" xfId="43" applyNumberFormat="1" applyFont="1" applyBorder="1" applyAlignment="1">
      <alignment vertical="center"/>
    </xf>
    <xf numFmtId="184" fontId="22" fillId="0" borderId="13" xfId="43" applyNumberFormat="1" applyFont="1" applyBorder="1" applyAlignment="1">
      <alignment horizontal="right" vertical="center"/>
    </xf>
    <xf numFmtId="184" fontId="22" fillId="0" borderId="13" xfId="43" applyNumberFormat="1" applyFont="1" applyFill="1" applyBorder="1" applyAlignment="1" quotePrefix="1">
      <alignment horizontal="right" vertical="center"/>
    </xf>
    <xf numFmtId="0" fontId="22" fillId="0" borderId="12" xfId="0" applyFont="1" applyFill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0" fontId="22" fillId="0" borderId="12" xfId="0" applyFont="1" applyFill="1" applyBorder="1" applyAlignment="1">
      <alignment/>
    </xf>
    <xf numFmtId="171" fontId="22" fillId="0" borderId="12" xfId="0" applyNumberFormat="1" applyFont="1" applyBorder="1" applyAlignment="1">
      <alignment/>
    </xf>
    <xf numFmtId="0" fontId="22" fillId="0" borderId="22" xfId="0" applyFont="1" applyFill="1" applyBorder="1" applyAlignment="1">
      <alignment/>
    </xf>
    <xf numFmtId="198" fontId="21" fillId="0" borderId="22" xfId="43" applyNumberFormat="1" applyFont="1" applyFill="1" applyBorder="1" applyAlignment="1">
      <alignment/>
    </xf>
    <xf numFmtId="0" fontId="22" fillId="0" borderId="12" xfId="0" applyFont="1" applyBorder="1" applyAlignment="1">
      <alignment/>
    </xf>
    <xf numFmtId="194" fontId="22" fillId="0" borderId="13" xfId="43" applyNumberFormat="1" applyFont="1" applyBorder="1" applyAlignment="1">
      <alignment/>
    </xf>
    <xf numFmtId="0" fontId="22" fillId="0" borderId="13" xfId="0" applyFont="1" applyFill="1" applyBorder="1" applyAlignment="1">
      <alignment/>
    </xf>
    <xf numFmtId="2" fontId="22" fillId="0" borderId="13" xfId="0" applyNumberFormat="1" applyFont="1" applyBorder="1" applyAlignment="1">
      <alignment/>
    </xf>
    <xf numFmtId="210" fontId="22" fillId="0" borderId="13" xfId="0" applyNumberFormat="1" applyFont="1" applyBorder="1" applyAlignment="1">
      <alignment/>
    </xf>
    <xf numFmtId="0" fontId="22" fillId="0" borderId="14" xfId="0" applyFont="1" applyBorder="1" applyAlignment="1">
      <alignment/>
    </xf>
    <xf numFmtId="193" fontId="22" fillId="0" borderId="0" xfId="43" applyNumberFormat="1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22" fillId="36" borderId="13" xfId="0" applyFont="1" applyFill="1" applyBorder="1" applyAlignment="1">
      <alignment horizontal="left" vertical="center" wrapText="1"/>
    </xf>
    <xf numFmtId="2" fontId="24" fillId="36" borderId="13" xfId="0" applyNumberFormat="1" applyFont="1" applyFill="1" applyBorder="1" applyAlignment="1">
      <alignment horizontal="center" vertical="center"/>
    </xf>
    <xf numFmtId="194" fontId="22" fillId="36" borderId="13" xfId="43" applyNumberFormat="1" applyFont="1" applyFill="1" applyBorder="1" applyAlignment="1">
      <alignment vertical="center"/>
    </xf>
    <xf numFmtId="194" fontId="21" fillId="36" borderId="13" xfId="43" applyNumberFormat="1" applyFont="1" applyFill="1" applyBorder="1" applyAlignment="1">
      <alignment horizontal="right" vertical="center"/>
    </xf>
    <xf numFmtId="194" fontId="22" fillId="36" borderId="13" xfId="43" applyNumberFormat="1" applyFont="1" applyFill="1" applyBorder="1" applyAlignment="1">
      <alignment horizontal="center" vertical="center"/>
    </xf>
    <xf numFmtId="193" fontId="22" fillId="36" borderId="13" xfId="43" applyNumberFormat="1" applyFont="1" applyFill="1" applyBorder="1" applyAlignment="1">
      <alignment vertical="center"/>
    </xf>
    <xf numFmtId="194" fontId="22" fillId="36" borderId="13" xfId="43" applyNumberFormat="1" applyFont="1" applyFill="1" applyBorder="1" applyAlignment="1">
      <alignment horizontal="right" vertical="center"/>
    </xf>
    <xf numFmtId="194" fontId="80" fillId="34" borderId="13" xfId="43" applyNumberFormat="1" applyFont="1" applyFill="1" applyBorder="1" applyAlignment="1">
      <alignment horizontal="center" vertical="center"/>
    </xf>
    <xf numFmtId="179" fontId="21" fillId="36" borderId="13" xfId="43" applyFont="1" applyFill="1" applyBorder="1" applyAlignment="1">
      <alignment vertical="center"/>
    </xf>
    <xf numFmtId="0" fontId="21" fillId="34" borderId="24" xfId="0" applyFont="1" applyFill="1" applyBorder="1" applyAlignment="1" applyProtection="1">
      <alignment horizontal="center" vertical="center" wrapText="1"/>
      <protection/>
    </xf>
    <xf numFmtId="0" fontId="25" fillId="34" borderId="18" xfId="0" applyFont="1" applyFill="1" applyBorder="1" applyAlignment="1">
      <alignment/>
    </xf>
    <xf numFmtId="0" fontId="21" fillId="34" borderId="25" xfId="0" applyFont="1" applyFill="1" applyBorder="1" applyAlignment="1" applyProtection="1">
      <alignment horizontal="center" vertical="center" wrapText="1"/>
      <protection/>
    </xf>
    <xf numFmtId="0" fontId="21" fillId="34" borderId="19" xfId="0" applyFont="1" applyFill="1" applyBorder="1" applyAlignment="1" applyProtection="1">
      <alignment horizontal="center" vertical="center"/>
      <protection/>
    </xf>
    <xf numFmtId="0" fontId="21" fillId="34" borderId="20" xfId="0" applyFont="1" applyFill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1" fillId="34" borderId="24" xfId="0" applyFont="1" applyFill="1" applyBorder="1" applyAlignment="1" applyProtection="1">
      <alignment horizontal="center" vertical="center" wrapText="1"/>
      <protection/>
    </xf>
    <xf numFmtId="0" fontId="7" fillId="34" borderId="18" xfId="0" applyFont="1" applyFill="1" applyBorder="1" applyAlignment="1">
      <alignment/>
    </xf>
    <xf numFmtId="0" fontId="46" fillId="34" borderId="16" xfId="0" applyFont="1" applyFill="1" applyBorder="1" applyAlignment="1">
      <alignment horizontal="center" vertical="center" wrapText="1"/>
    </xf>
    <xf numFmtId="0" fontId="46" fillId="34" borderId="19" xfId="0" applyFont="1" applyFill="1" applyBorder="1" applyAlignment="1">
      <alignment horizontal="center" vertical="center"/>
    </xf>
    <xf numFmtId="0" fontId="46" fillId="34" borderId="4" xfId="0" applyFont="1" applyFill="1" applyBorder="1" applyAlignment="1">
      <alignment horizontal="center" vertical="center"/>
    </xf>
    <xf numFmtId="0" fontId="46" fillId="34" borderId="20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 wrapText="1"/>
    </xf>
    <xf numFmtId="0" fontId="46" fillId="34" borderId="27" xfId="0" applyFont="1" applyFill="1" applyBorder="1" applyAlignment="1">
      <alignment horizontal="center" vertical="center" wrapText="1"/>
    </xf>
    <xf numFmtId="0" fontId="46" fillId="34" borderId="28" xfId="0" applyFont="1" applyFill="1" applyBorder="1" applyAlignment="1">
      <alignment horizontal="center" vertical="center" wrapText="1"/>
    </xf>
    <xf numFmtId="0" fontId="46" fillId="34" borderId="29" xfId="0" applyFont="1" applyFill="1" applyBorder="1" applyAlignment="1">
      <alignment horizontal="center" vertical="center" wrapText="1"/>
    </xf>
    <xf numFmtId="0" fontId="46" fillId="34" borderId="30" xfId="0" applyFont="1" applyFill="1" applyBorder="1" applyAlignment="1">
      <alignment horizontal="center" vertical="center" wrapText="1"/>
    </xf>
    <xf numFmtId="0" fontId="46" fillId="34" borderId="31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  <xf numFmtId="0" fontId="46" fillId="34" borderId="24" xfId="0" applyFont="1" applyFill="1" applyBorder="1" applyAlignment="1">
      <alignment horizontal="center" vertical="center" wrapText="1"/>
    </xf>
    <xf numFmtId="0" fontId="46" fillId="34" borderId="18" xfId="0" applyFont="1" applyFill="1" applyBorder="1" applyAlignment="1">
      <alignment horizontal="center" vertical="center" wrapText="1"/>
    </xf>
    <xf numFmtId="0" fontId="46" fillId="34" borderId="25" xfId="0" applyFont="1" applyFill="1" applyBorder="1" applyAlignment="1">
      <alignment horizontal="center" vertical="center" wrapText="1"/>
    </xf>
    <xf numFmtId="3" fontId="46" fillId="34" borderId="16" xfId="0" applyNumberFormat="1" applyFont="1" applyFill="1" applyBorder="1" applyAlignment="1">
      <alignment horizontal="center" vertical="center" wrapText="1"/>
    </xf>
    <xf numFmtId="0" fontId="46" fillId="33" borderId="32" xfId="0" applyFont="1" applyFill="1" applyBorder="1" applyAlignment="1">
      <alignment horizontal="center" vertical="center" wrapText="1"/>
    </xf>
    <xf numFmtId="0" fontId="46" fillId="33" borderId="3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46" fillId="33" borderId="30" xfId="0" applyFont="1" applyFill="1" applyBorder="1" applyAlignment="1">
      <alignment horizontal="center" vertical="center" wrapText="1"/>
    </xf>
    <xf numFmtId="0" fontId="46" fillId="33" borderId="3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1" fillId="33" borderId="19" xfId="0" applyFont="1" applyFill="1" applyBorder="1" applyAlignment="1" applyProtection="1">
      <alignment horizontal="center" vertical="center" wrapText="1"/>
      <protection/>
    </xf>
    <xf numFmtId="0" fontId="21" fillId="33" borderId="20" xfId="0" applyFont="1" applyFill="1" applyBorder="1" applyAlignment="1" applyProtection="1">
      <alignment horizontal="center" vertical="center" wrapText="1"/>
      <protection/>
    </xf>
    <xf numFmtId="0" fontId="27" fillId="0" borderId="16" xfId="0" applyFont="1" applyBorder="1" applyAlignment="1">
      <alignment horizontal="center" vertical="center" wrapText="1"/>
    </xf>
    <xf numFmtId="0" fontId="21" fillId="33" borderId="16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</cellXfs>
  <cellStyles count="53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201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OCAO_TAILIEU\03Baocao_hangnam\Nam2016\Thang10_016\THop\Sli&#7879;uT10_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IP"/>
      <sheetName val="GTSXCN"/>
      <sheetName val="TMBL"/>
      <sheetName val="XNK"/>
      <sheetName val="XNK_sapxep"/>
      <sheetName val="chisogia"/>
      <sheetName val="00000000"/>
      <sheetName val="10000000"/>
      <sheetName val="20000000"/>
      <sheetName val="30000000"/>
    </sheetNames>
    <sheetDataSet>
      <sheetData sheetId="2">
        <row r="10">
          <cell r="F10">
            <v>11698.816064999999</v>
          </cell>
          <cell r="G10">
            <v>112804.739</v>
          </cell>
        </row>
        <row r="11">
          <cell r="F11">
            <v>11757.310145324998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32"/>
  <sheetViews>
    <sheetView zoomScalePageLayoutView="0" workbookViewId="0" topLeftCell="A9">
      <selection activeCell="F23" sqref="F23"/>
    </sheetView>
  </sheetViews>
  <sheetFormatPr defaultColWidth="8.72265625" defaultRowHeight="20.25" customHeight="1"/>
  <cols>
    <col min="1" max="1" width="4.18359375" style="22" customWidth="1"/>
    <col min="2" max="2" width="60.8125" style="22" customWidth="1"/>
    <col min="3" max="3" width="11.453125" style="22" customWidth="1"/>
    <col min="4" max="4" width="11.0859375" style="22" customWidth="1"/>
    <col min="5" max="5" width="10.99609375" style="22" customWidth="1"/>
    <col min="6" max="6" width="8.90625" style="22" customWidth="1"/>
    <col min="7" max="7" width="10.0859375" style="22" bestFit="1" customWidth="1"/>
    <col min="8" max="16384" width="8.90625" style="22" customWidth="1"/>
  </cols>
  <sheetData>
    <row r="1" ht="15" customHeight="1">
      <c r="B1" s="23" t="s">
        <v>7</v>
      </c>
    </row>
    <row r="2" spans="2:6" ht="29.25" customHeight="1">
      <c r="B2" s="277" t="s">
        <v>152</v>
      </c>
      <c r="C2" s="277"/>
      <c r="D2" s="277"/>
      <c r="E2" s="277"/>
      <c r="F2" s="277"/>
    </row>
    <row r="3" ht="14.25" customHeight="1">
      <c r="E3" s="24" t="s">
        <v>137</v>
      </c>
    </row>
    <row r="4" spans="1:6" ht="31.5" customHeight="1">
      <c r="A4" s="270" t="s">
        <v>34</v>
      </c>
      <c r="B4" s="270" t="s">
        <v>35</v>
      </c>
      <c r="C4" s="270" t="s">
        <v>153</v>
      </c>
      <c r="D4" s="273" t="s">
        <v>154</v>
      </c>
      <c r="E4" s="274"/>
      <c r="F4" s="275" t="s">
        <v>155</v>
      </c>
    </row>
    <row r="5" spans="1:6" ht="31.5" customHeight="1">
      <c r="A5" s="271"/>
      <c r="B5" s="271"/>
      <c r="C5" s="272"/>
      <c r="D5" s="174" t="s">
        <v>51</v>
      </c>
      <c r="E5" s="174" t="s">
        <v>52</v>
      </c>
      <c r="F5" s="276"/>
    </row>
    <row r="6" spans="1:6" ht="18" customHeight="1">
      <c r="A6" s="175" t="s">
        <v>10</v>
      </c>
      <c r="B6" s="176" t="s">
        <v>11</v>
      </c>
      <c r="C6" s="176">
        <v>1</v>
      </c>
      <c r="D6" s="175">
        <v>2</v>
      </c>
      <c r="E6" s="175">
        <v>3</v>
      </c>
      <c r="F6" s="176">
        <v>4</v>
      </c>
    </row>
    <row r="7" spans="1:7" ht="15.75">
      <c r="A7" s="25"/>
      <c r="B7" s="177" t="s">
        <v>44</v>
      </c>
      <c r="C7" s="64">
        <v>108.614314616669</v>
      </c>
      <c r="D7" s="64">
        <v>101.140823292374</v>
      </c>
      <c r="E7" s="64">
        <v>106.494489503091</v>
      </c>
      <c r="F7" s="64">
        <v>108.033196045164</v>
      </c>
      <c r="G7" s="130"/>
    </row>
    <row r="8" spans="1:6" ht="15.75">
      <c r="A8" s="26" t="s">
        <v>36</v>
      </c>
      <c r="B8" s="63" t="s">
        <v>38</v>
      </c>
      <c r="D8" s="65"/>
      <c r="E8" s="65"/>
      <c r="F8" s="65"/>
    </row>
    <row r="9" spans="1:6" ht="15.75">
      <c r="A9" s="45">
        <v>1</v>
      </c>
      <c r="B9" s="178" t="s">
        <v>40</v>
      </c>
      <c r="C9" s="66">
        <v>93.2472563144128</v>
      </c>
      <c r="D9" s="66">
        <v>101.576384838354</v>
      </c>
      <c r="E9" s="66">
        <v>105.989359355288</v>
      </c>
      <c r="F9" s="66">
        <v>110.543419178515</v>
      </c>
    </row>
    <row r="10" spans="1:6" ht="15.75">
      <c r="A10" s="45">
        <v>2</v>
      </c>
      <c r="B10" s="178" t="s">
        <v>41</v>
      </c>
      <c r="C10" s="66">
        <v>108.95756604075</v>
      </c>
      <c r="D10" s="66">
        <v>101.222584580798</v>
      </c>
      <c r="E10" s="66">
        <v>106.596184291235</v>
      </c>
      <c r="F10" s="66">
        <v>108.082323279431</v>
      </c>
    </row>
    <row r="11" spans="1:7" ht="15.75">
      <c r="A11" s="45">
        <v>3</v>
      </c>
      <c r="B11" s="178" t="s">
        <v>42</v>
      </c>
      <c r="C11" s="66">
        <v>107.770090702137</v>
      </c>
      <c r="D11" s="66">
        <v>90.3198877688023</v>
      </c>
      <c r="E11" s="66">
        <v>95.7715877762482</v>
      </c>
      <c r="F11" s="66">
        <v>99.7551868257094</v>
      </c>
      <c r="G11" s="130"/>
    </row>
    <row r="12" spans="1:6" ht="15.75">
      <c r="A12" s="45">
        <v>4</v>
      </c>
      <c r="B12" s="178" t="s">
        <v>43</v>
      </c>
      <c r="C12" s="66">
        <v>96.72</v>
      </c>
      <c r="D12" s="66">
        <v>102.008743944228</v>
      </c>
      <c r="E12" s="66">
        <v>106.58024691358</v>
      </c>
      <c r="F12" s="66">
        <v>101.724184943148</v>
      </c>
    </row>
    <row r="13" spans="1:6" ht="15.75">
      <c r="A13" s="26" t="s">
        <v>37</v>
      </c>
      <c r="B13" s="63" t="s">
        <v>39</v>
      </c>
      <c r="C13" s="65"/>
      <c r="D13" s="65"/>
      <c r="E13" s="65"/>
      <c r="F13" s="65"/>
    </row>
    <row r="14" spans="1:6" ht="15.75">
      <c r="A14" s="45">
        <v>1</v>
      </c>
      <c r="B14" s="92" t="s">
        <v>113</v>
      </c>
      <c r="C14" s="66">
        <v>93.2472563144128</v>
      </c>
      <c r="D14" s="66">
        <v>101.576384838354</v>
      </c>
      <c r="E14" s="66">
        <v>105.989359355288</v>
      </c>
      <c r="F14" s="66">
        <v>110.543419178515</v>
      </c>
    </row>
    <row r="15" spans="1:6" ht="15.75">
      <c r="A15" s="45">
        <f>A14+1</f>
        <v>2</v>
      </c>
      <c r="B15" s="92" t="s">
        <v>114</v>
      </c>
      <c r="C15" s="66">
        <v>100.553617444758</v>
      </c>
      <c r="D15" s="66">
        <v>102.359058805825</v>
      </c>
      <c r="E15" s="66">
        <v>106.140377128577</v>
      </c>
      <c r="F15" s="66">
        <v>106.336363036095</v>
      </c>
    </row>
    <row r="16" spans="1:6" ht="15.75">
      <c r="A16" s="45">
        <f aca="true" t="shared" si="0" ref="A16:A31">A15+1</f>
        <v>3</v>
      </c>
      <c r="B16" s="92" t="s">
        <v>115</v>
      </c>
      <c r="C16" s="139">
        <v>124.338247489714</v>
      </c>
      <c r="D16" s="139">
        <v>102.821444116621</v>
      </c>
      <c r="E16" s="139">
        <v>108.795298443913</v>
      </c>
      <c r="F16" s="139">
        <v>110.038470321632</v>
      </c>
    </row>
    <row r="17" spans="1:6" ht="15.75">
      <c r="A17" s="45">
        <f t="shared" si="0"/>
        <v>4</v>
      </c>
      <c r="B17" s="92" t="s">
        <v>116</v>
      </c>
      <c r="C17" s="139">
        <v>106.48674577649</v>
      </c>
      <c r="D17" s="139">
        <v>101.892444425387</v>
      </c>
      <c r="E17" s="139">
        <v>99.6696786073015</v>
      </c>
      <c r="F17" s="139">
        <v>102.267024821705</v>
      </c>
    </row>
    <row r="18" spans="1:6" ht="15.75">
      <c r="A18" s="45">
        <f t="shared" si="0"/>
        <v>5</v>
      </c>
      <c r="B18" s="92" t="s">
        <v>117</v>
      </c>
      <c r="C18" s="139">
        <v>92.5897960744497</v>
      </c>
      <c r="D18" s="139">
        <v>103.920653073361</v>
      </c>
      <c r="E18" s="139">
        <v>94.3706547722331</v>
      </c>
      <c r="F18" s="139">
        <v>105.589867825021</v>
      </c>
    </row>
    <row r="19" spans="1:6" s="179" customFormat="1" ht="15.75">
      <c r="A19" s="45">
        <f t="shared" si="0"/>
        <v>6</v>
      </c>
      <c r="B19" s="92" t="s">
        <v>118</v>
      </c>
      <c r="C19" s="139">
        <v>124.200629594368</v>
      </c>
      <c r="D19" s="139">
        <v>100.009536885588</v>
      </c>
      <c r="E19" s="139">
        <v>113.888503568391</v>
      </c>
      <c r="F19" s="139">
        <v>112.969716007873</v>
      </c>
    </row>
    <row r="20" spans="1:6" ht="15.75">
      <c r="A20" s="45">
        <f t="shared" si="0"/>
        <v>7</v>
      </c>
      <c r="B20" s="92" t="s">
        <v>119</v>
      </c>
      <c r="C20" s="139">
        <v>103.298815826615</v>
      </c>
      <c r="D20" s="139">
        <v>107.383039542497</v>
      </c>
      <c r="E20" s="139">
        <v>108.96158954551</v>
      </c>
      <c r="F20" s="139">
        <v>107.324611419932</v>
      </c>
    </row>
    <row r="21" spans="1:6" s="179" customFormat="1" ht="15.75">
      <c r="A21" s="45">
        <f t="shared" si="0"/>
        <v>8</v>
      </c>
      <c r="B21" s="92" t="s">
        <v>120</v>
      </c>
      <c r="C21" s="139">
        <v>109.178833925535</v>
      </c>
      <c r="D21" s="139">
        <v>101.687596618675</v>
      </c>
      <c r="E21" s="139">
        <v>100.712843155013</v>
      </c>
      <c r="F21" s="139">
        <v>108.47061554426</v>
      </c>
    </row>
    <row r="22" spans="1:6" s="179" customFormat="1" ht="15.75">
      <c r="A22" s="45">
        <f t="shared" si="0"/>
        <v>9</v>
      </c>
      <c r="B22" s="92" t="s">
        <v>121</v>
      </c>
      <c r="C22" s="139">
        <v>107.612936415924</v>
      </c>
      <c r="D22" s="139">
        <v>101.687313939265</v>
      </c>
      <c r="E22" s="139">
        <v>110.923763570886</v>
      </c>
      <c r="F22" s="139">
        <v>111.471722195093</v>
      </c>
    </row>
    <row r="23" spans="1:6" s="179" customFormat="1" ht="15.75">
      <c r="A23" s="45">
        <f t="shared" si="0"/>
        <v>10</v>
      </c>
      <c r="B23" s="92" t="s">
        <v>122</v>
      </c>
      <c r="C23" s="139">
        <v>90.3985704493118</v>
      </c>
      <c r="D23" s="139">
        <v>90.3577605415751</v>
      </c>
      <c r="E23" s="139">
        <v>90.9344093162678</v>
      </c>
      <c r="F23" s="139">
        <v>107.371824900624</v>
      </c>
    </row>
    <row r="24" spans="1:6" ht="15.75">
      <c r="A24" s="45">
        <f t="shared" si="0"/>
        <v>11</v>
      </c>
      <c r="B24" s="92" t="s">
        <v>123</v>
      </c>
      <c r="C24" s="139">
        <v>91.3934744690926</v>
      </c>
      <c r="D24" s="139">
        <v>108.804572326197</v>
      </c>
      <c r="E24" s="139">
        <v>100.059921772173</v>
      </c>
      <c r="F24" s="139">
        <v>100.692252693493</v>
      </c>
    </row>
    <row r="25" spans="1:6" ht="15.75">
      <c r="A25" s="45">
        <f t="shared" si="0"/>
        <v>12</v>
      </c>
      <c r="B25" s="92" t="s">
        <v>124</v>
      </c>
      <c r="C25" s="139">
        <v>104.864497053583</v>
      </c>
      <c r="D25" s="139">
        <v>101.220263829731</v>
      </c>
      <c r="E25" s="139">
        <v>111.335903359617</v>
      </c>
      <c r="F25" s="139">
        <v>108.850011712255</v>
      </c>
    </row>
    <row r="26" spans="1:7" ht="15.75">
      <c r="A26" s="45">
        <f t="shared" si="0"/>
        <v>13</v>
      </c>
      <c r="B26" s="92" t="s">
        <v>125</v>
      </c>
      <c r="C26" s="139">
        <v>99.8173079557513</v>
      </c>
      <c r="D26" s="139">
        <v>103.953752433104</v>
      </c>
      <c r="E26" s="139">
        <v>105.506321149237</v>
      </c>
      <c r="F26" s="139">
        <v>104.444071750192</v>
      </c>
      <c r="G26" s="130"/>
    </row>
    <row r="27" spans="1:6" s="179" customFormat="1" ht="15.75">
      <c r="A27" s="45">
        <f t="shared" si="0"/>
        <v>14</v>
      </c>
      <c r="B27" s="92" t="s">
        <v>126</v>
      </c>
      <c r="C27" s="139">
        <v>114.643767503539</v>
      </c>
      <c r="D27" s="139">
        <v>91.4437639573937</v>
      </c>
      <c r="E27" s="139">
        <v>101.562349907293</v>
      </c>
      <c r="F27" s="139">
        <v>114.821998069597</v>
      </c>
    </row>
    <row r="28" spans="1:7" ht="15.75">
      <c r="A28" s="45">
        <f t="shared" si="0"/>
        <v>15</v>
      </c>
      <c r="B28" s="92" t="s">
        <v>127</v>
      </c>
      <c r="C28" s="66">
        <v>97.0133967336423</v>
      </c>
      <c r="D28" s="66">
        <v>99.786128726959</v>
      </c>
      <c r="E28" s="66">
        <v>102.019740850847</v>
      </c>
      <c r="F28" s="66">
        <v>98.7087547181882</v>
      </c>
      <c r="G28" s="130"/>
    </row>
    <row r="29" spans="1:6" ht="15.75">
      <c r="A29" s="45">
        <f t="shared" si="0"/>
        <v>16</v>
      </c>
      <c r="B29" s="92" t="s">
        <v>130</v>
      </c>
      <c r="C29" s="66">
        <v>101.282164647626</v>
      </c>
      <c r="D29" s="66">
        <v>102.064780862581</v>
      </c>
      <c r="E29" s="66">
        <v>99.7248939028811</v>
      </c>
      <c r="F29" s="66">
        <v>103.353411245231</v>
      </c>
    </row>
    <row r="30" spans="1:7" ht="15.75">
      <c r="A30" s="45">
        <f t="shared" si="0"/>
        <v>17</v>
      </c>
      <c r="B30" s="92" t="s">
        <v>128</v>
      </c>
      <c r="C30" s="66">
        <v>107.770090702137</v>
      </c>
      <c r="D30" s="66">
        <v>90.3198877688023</v>
      </c>
      <c r="E30" s="66">
        <v>95.7715877762482</v>
      </c>
      <c r="F30" s="66">
        <v>99.7551868257094</v>
      </c>
      <c r="G30" s="130"/>
    </row>
    <row r="31" spans="1:7" ht="15.75">
      <c r="A31" s="46">
        <f t="shared" si="0"/>
        <v>18</v>
      </c>
      <c r="B31" s="93" t="s">
        <v>129</v>
      </c>
      <c r="C31" s="67">
        <v>96.72</v>
      </c>
      <c r="D31" s="67">
        <v>102.008743944228</v>
      </c>
      <c r="E31" s="67">
        <v>106.58024691358</v>
      </c>
      <c r="F31" s="67">
        <v>101.724184943148</v>
      </c>
      <c r="G31" s="130"/>
    </row>
    <row r="32" ht="20.25" customHeight="1">
      <c r="B32" s="55" t="s">
        <v>131</v>
      </c>
    </row>
  </sheetData>
  <sheetProtection/>
  <mergeCells count="6">
    <mergeCell ref="A4:A5"/>
    <mergeCell ref="B4:B5"/>
    <mergeCell ref="C4:C5"/>
    <mergeCell ref="D4:E4"/>
    <mergeCell ref="F4:F5"/>
    <mergeCell ref="B2:F2"/>
  </mergeCells>
  <printOptions/>
  <pageMargins left="0.9448818897637796" right="0.15748031496062992" top="0.7086614173228347" bottom="0.3937007874015748" header="0.15748031496062992" footer="0.15748031496062992"/>
  <pageSetup firstPageNumber="1" useFirstPageNumber="1"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18"/>
  <sheetViews>
    <sheetView zoomScalePageLayoutView="0" workbookViewId="0" topLeftCell="A4">
      <selection activeCell="C12" sqref="C12"/>
    </sheetView>
  </sheetViews>
  <sheetFormatPr defaultColWidth="8.72265625" defaultRowHeight="20.25" customHeight="1"/>
  <cols>
    <col min="1" max="1" width="3.99609375" style="22" bestFit="1" customWidth="1"/>
    <col min="2" max="2" width="64.99609375" style="22" customWidth="1"/>
    <col min="3" max="3" width="13.99609375" style="22" customWidth="1"/>
    <col min="4" max="4" width="13.90625" style="22" customWidth="1"/>
    <col min="5" max="5" width="10.99609375" style="22" customWidth="1"/>
    <col min="6" max="6" width="10.0859375" style="22" bestFit="1" customWidth="1"/>
    <col min="7" max="16384" width="8.90625" style="22" customWidth="1"/>
  </cols>
  <sheetData>
    <row r="1" ht="15" customHeight="1">
      <c r="B1" s="23" t="s">
        <v>7</v>
      </c>
    </row>
    <row r="2" spans="2:6" ht="29.25" customHeight="1">
      <c r="B2" s="277" t="s">
        <v>156</v>
      </c>
      <c r="C2" s="277"/>
      <c r="D2" s="277"/>
      <c r="E2" s="277"/>
      <c r="F2" s="277"/>
    </row>
    <row r="3" spans="4:5" ht="14.25" customHeight="1">
      <c r="D3" s="279" t="s">
        <v>132</v>
      </c>
      <c r="E3" s="279"/>
    </row>
    <row r="4" spans="1:5" ht="15.75" customHeight="1">
      <c r="A4" s="280" t="s">
        <v>34</v>
      </c>
      <c r="B4" s="280" t="s">
        <v>35</v>
      </c>
      <c r="C4" s="278" t="s">
        <v>157</v>
      </c>
      <c r="D4" s="278" t="s">
        <v>158</v>
      </c>
      <c r="E4" s="278" t="s">
        <v>159</v>
      </c>
    </row>
    <row r="5" spans="1:5" ht="51" customHeight="1">
      <c r="A5" s="281"/>
      <c r="B5" s="281"/>
      <c r="C5" s="278"/>
      <c r="D5" s="278"/>
      <c r="E5" s="278"/>
    </row>
    <row r="6" spans="1:5" ht="15.75">
      <c r="A6" s="28" t="s">
        <v>10</v>
      </c>
      <c r="B6" s="28" t="s">
        <v>11</v>
      </c>
      <c r="C6" s="28">
        <v>1</v>
      </c>
      <c r="D6" s="28">
        <v>2</v>
      </c>
      <c r="E6" s="28">
        <v>3</v>
      </c>
    </row>
    <row r="7" spans="1:6" ht="24" customHeight="1">
      <c r="A7" s="30" t="s">
        <v>36</v>
      </c>
      <c r="B7" s="31" t="s">
        <v>45</v>
      </c>
      <c r="C7" s="53">
        <v>328452974</v>
      </c>
      <c r="D7" s="53">
        <v>300841633</v>
      </c>
      <c r="E7" s="94">
        <f aca="true" t="shared" si="0" ref="E7:E16">C7/D7*100</f>
        <v>109.17803188496853</v>
      </c>
      <c r="F7" s="133"/>
    </row>
    <row r="8" spans="1:6" ht="24" customHeight="1">
      <c r="A8" s="134">
        <v>1</v>
      </c>
      <c r="B8" s="136" t="s">
        <v>46</v>
      </c>
      <c r="C8" s="51">
        <v>2060486</v>
      </c>
      <c r="D8" s="51">
        <v>1899821</v>
      </c>
      <c r="E8" s="183">
        <f t="shared" si="0"/>
        <v>108.45684935580773</v>
      </c>
      <c r="F8" s="133"/>
    </row>
    <row r="9" spans="1:6" ht="24" customHeight="1">
      <c r="A9" s="134">
        <v>2</v>
      </c>
      <c r="B9" s="136" t="s">
        <v>47</v>
      </c>
      <c r="C9" s="51">
        <v>319270548</v>
      </c>
      <c r="D9" s="51">
        <v>291829590</v>
      </c>
      <c r="E9" s="183">
        <f t="shared" si="0"/>
        <v>109.40307595264758</v>
      </c>
      <c r="F9" s="133"/>
    </row>
    <row r="10" spans="1:6" ht="24" customHeight="1">
      <c r="A10" s="134">
        <v>3</v>
      </c>
      <c r="B10" s="136" t="s">
        <v>48</v>
      </c>
      <c r="C10" s="51">
        <v>6668000</v>
      </c>
      <c r="D10" s="51">
        <v>6670896</v>
      </c>
      <c r="E10" s="183">
        <f t="shared" si="0"/>
        <v>99.95658754086408</v>
      </c>
      <c r="F10" s="133"/>
    </row>
    <row r="11" spans="1:6" ht="24" customHeight="1">
      <c r="A11" s="134">
        <v>4</v>
      </c>
      <c r="B11" s="137" t="s">
        <v>49</v>
      </c>
      <c r="C11" s="51">
        <v>453940</v>
      </c>
      <c r="D11" s="51">
        <v>441326</v>
      </c>
      <c r="E11" s="183">
        <f t="shared" si="0"/>
        <v>102.85820459252344</v>
      </c>
      <c r="F11" s="133"/>
    </row>
    <row r="12" spans="1:6" ht="24" customHeight="1">
      <c r="A12" s="26" t="s">
        <v>37</v>
      </c>
      <c r="B12" s="32" t="s">
        <v>50</v>
      </c>
      <c r="C12" s="54">
        <v>453616168</v>
      </c>
      <c r="D12" s="54">
        <v>409556707</v>
      </c>
      <c r="E12" s="95">
        <f t="shared" si="0"/>
        <v>110.75784140436504</v>
      </c>
      <c r="F12" s="133"/>
    </row>
    <row r="13" spans="1:6" ht="24" customHeight="1">
      <c r="A13" s="134">
        <v>1</v>
      </c>
      <c r="B13" s="137" t="s">
        <v>46</v>
      </c>
      <c r="C13" s="51">
        <v>1975889</v>
      </c>
      <c r="D13" s="51">
        <v>1792744</v>
      </c>
      <c r="E13" s="181">
        <f t="shared" si="0"/>
        <v>110.21590366499623</v>
      </c>
      <c r="F13" s="133"/>
    </row>
    <row r="14" spans="1:6" ht="24" customHeight="1">
      <c r="A14" s="134">
        <f>A13+1</f>
        <v>2</v>
      </c>
      <c r="B14" s="137" t="s">
        <v>47</v>
      </c>
      <c r="C14" s="51">
        <v>442511502</v>
      </c>
      <c r="D14" s="51">
        <v>398671172</v>
      </c>
      <c r="E14" s="181">
        <f t="shared" si="0"/>
        <v>110.99661402154256</v>
      </c>
      <c r="F14" s="133"/>
    </row>
    <row r="15" spans="1:6" ht="24" customHeight="1">
      <c r="A15" s="134">
        <f>A14+1</f>
        <v>3</v>
      </c>
      <c r="B15" s="137" t="s">
        <v>48</v>
      </c>
      <c r="C15" s="51">
        <v>8398319</v>
      </c>
      <c r="D15" s="51">
        <v>8388754</v>
      </c>
      <c r="E15" s="181">
        <f t="shared" si="0"/>
        <v>100.11402170095822</v>
      </c>
      <c r="F15" s="133"/>
    </row>
    <row r="16" spans="1:6" ht="24" customHeight="1">
      <c r="A16" s="135">
        <v>4</v>
      </c>
      <c r="B16" s="138" t="s">
        <v>49</v>
      </c>
      <c r="C16" s="52">
        <v>730458</v>
      </c>
      <c r="D16" s="52">
        <v>704037</v>
      </c>
      <c r="E16" s="182">
        <f t="shared" si="0"/>
        <v>103.7527857200687</v>
      </c>
      <c r="F16" s="133"/>
    </row>
    <row r="17" spans="2:6" ht="20.25" customHeight="1">
      <c r="B17" s="56" t="s">
        <v>134</v>
      </c>
      <c r="F17" s="133"/>
    </row>
    <row r="18" ht="20.25" customHeight="1">
      <c r="B18" s="56"/>
    </row>
  </sheetData>
  <sheetProtection/>
  <mergeCells count="7">
    <mergeCell ref="B2:F2"/>
    <mergeCell ref="C4:C5"/>
    <mergeCell ref="D4:D5"/>
    <mergeCell ref="E4:E5"/>
    <mergeCell ref="D3:E3"/>
    <mergeCell ref="A4:A5"/>
    <mergeCell ref="B4:B5"/>
  </mergeCells>
  <printOptions/>
  <pageMargins left="0.7480314960629921" right="0.1968503937007874" top="0.984251968503937" bottom="0.5905511811023623" header="0.2755905511811024" footer="0.2755905511811024"/>
  <pageSetup firstPageNumber="2" useFirstPageNumber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28"/>
  <sheetViews>
    <sheetView zoomScalePageLayoutView="0" workbookViewId="0" topLeftCell="A1">
      <pane xSplit="1" ySplit="9" topLeftCell="E1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P10" sqref="P10"/>
    </sheetView>
  </sheetViews>
  <sheetFormatPr defaultColWidth="8.72265625" defaultRowHeight="16.5"/>
  <cols>
    <col min="1" max="1" width="31.453125" style="0" customWidth="1"/>
    <col min="2" max="3" width="9.6328125" style="0" customWidth="1"/>
    <col min="4" max="4" width="9.6328125" style="33" customWidth="1"/>
    <col min="5" max="7" width="9.6328125" style="0" customWidth="1"/>
    <col min="8" max="8" width="7.453125" style="0" customWidth="1"/>
    <col min="9" max="9" width="10.36328125" style="0" customWidth="1"/>
    <col min="10" max="10" width="6.8125" style="0" customWidth="1"/>
    <col min="11" max="11" width="5.36328125" style="0" customWidth="1"/>
    <col min="12" max="12" width="4.99609375" style="0" customWidth="1"/>
    <col min="13" max="13" width="5.90625" style="0" customWidth="1"/>
    <col min="14" max="14" width="5.18359375" style="0" customWidth="1"/>
    <col min="15" max="15" width="5.0859375" style="0" customWidth="1"/>
    <col min="16" max="16" width="6.0859375" style="0" customWidth="1"/>
  </cols>
  <sheetData>
    <row r="1" ht="16.5">
      <c r="A1" s="17" t="s">
        <v>7</v>
      </c>
    </row>
    <row r="2" spans="1:13" ht="21" customHeight="1">
      <c r="A2" s="16" t="s">
        <v>142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4:13" ht="19.5" customHeight="1">
      <c r="D3" s="131"/>
      <c r="E3" s="131"/>
      <c r="F3" s="131"/>
      <c r="G3" s="131"/>
      <c r="H3" s="131"/>
      <c r="I3" s="131"/>
      <c r="L3" s="300" t="s">
        <v>8</v>
      </c>
      <c r="M3" s="301"/>
    </row>
    <row r="4" spans="1:16" s="190" customFormat="1" ht="16.5" customHeight="1">
      <c r="A4" s="294" t="s">
        <v>13</v>
      </c>
      <c r="B4" s="286" t="s">
        <v>109</v>
      </c>
      <c r="C4" s="287"/>
      <c r="D4" s="282" t="s">
        <v>143</v>
      </c>
      <c r="E4" s="282" t="s">
        <v>144</v>
      </c>
      <c r="F4" s="294" t="s">
        <v>145</v>
      </c>
      <c r="G4" s="282" t="s">
        <v>147</v>
      </c>
      <c r="H4" s="297" t="s">
        <v>146</v>
      </c>
      <c r="I4" s="297" t="s">
        <v>151</v>
      </c>
      <c r="J4" s="283" t="s">
        <v>9</v>
      </c>
      <c r="K4" s="284"/>
      <c r="L4" s="284"/>
      <c r="M4" s="284"/>
      <c r="N4" s="284"/>
      <c r="O4" s="284"/>
      <c r="P4" s="285"/>
    </row>
    <row r="5" spans="1:16" s="190" customFormat="1" ht="16.5" customHeight="1">
      <c r="A5" s="295"/>
      <c r="B5" s="288"/>
      <c r="C5" s="289"/>
      <c r="D5" s="282"/>
      <c r="E5" s="282"/>
      <c r="F5" s="295"/>
      <c r="G5" s="282"/>
      <c r="H5" s="297"/>
      <c r="I5" s="297"/>
      <c r="J5" s="282" t="s">
        <v>148</v>
      </c>
      <c r="K5" s="282" t="s">
        <v>149</v>
      </c>
      <c r="L5" s="282"/>
      <c r="M5" s="282" t="s">
        <v>169</v>
      </c>
      <c r="N5" s="286" t="s">
        <v>150</v>
      </c>
      <c r="O5" s="287"/>
      <c r="P5" s="282" t="s">
        <v>170</v>
      </c>
    </row>
    <row r="6" spans="1:16" s="190" customFormat="1" ht="28.5" customHeight="1">
      <c r="A6" s="295"/>
      <c r="B6" s="288"/>
      <c r="C6" s="289"/>
      <c r="D6" s="282"/>
      <c r="E6" s="282"/>
      <c r="F6" s="295"/>
      <c r="G6" s="282"/>
      <c r="H6" s="297"/>
      <c r="I6" s="297"/>
      <c r="J6" s="282"/>
      <c r="K6" s="282"/>
      <c r="L6" s="282"/>
      <c r="M6" s="282"/>
      <c r="N6" s="288"/>
      <c r="O6" s="289"/>
      <c r="P6" s="282"/>
    </row>
    <row r="7" spans="1:16" s="190" customFormat="1" ht="14.25">
      <c r="A7" s="295"/>
      <c r="B7" s="288"/>
      <c r="C7" s="289"/>
      <c r="D7" s="282"/>
      <c r="E7" s="282"/>
      <c r="F7" s="295"/>
      <c r="G7" s="282"/>
      <c r="H7" s="297"/>
      <c r="I7" s="297"/>
      <c r="J7" s="282"/>
      <c r="K7" s="282"/>
      <c r="L7" s="282"/>
      <c r="M7" s="282"/>
      <c r="N7" s="288"/>
      <c r="O7" s="289"/>
      <c r="P7" s="282"/>
    </row>
    <row r="8" spans="1:16" s="190" customFormat="1" ht="16.5" customHeight="1">
      <c r="A8" s="296"/>
      <c r="B8" s="290"/>
      <c r="C8" s="291"/>
      <c r="D8" s="282"/>
      <c r="E8" s="282"/>
      <c r="F8" s="296"/>
      <c r="G8" s="282"/>
      <c r="H8" s="297"/>
      <c r="I8" s="297"/>
      <c r="J8" s="282"/>
      <c r="K8" s="282"/>
      <c r="L8" s="282"/>
      <c r="M8" s="282"/>
      <c r="N8" s="290"/>
      <c r="O8" s="291"/>
      <c r="P8" s="282"/>
    </row>
    <row r="9" spans="1:16" s="190" customFormat="1" ht="14.25">
      <c r="A9" s="191" t="s">
        <v>10</v>
      </c>
      <c r="B9" s="292">
        <v>1</v>
      </c>
      <c r="C9" s="293"/>
      <c r="D9" s="191">
        <v>2</v>
      </c>
      <c r="E9" s="191">
        <v>3</v>
      </c>
      <c r="F9" s="191">
        <v>4</v>
      </c>
      <c r="G9" s="192">
        <v>5</v>
      </c>
      <c r="H9" s="193">
        <v>6</v>
      </c>
      <c r="I9" s="193">
        <v>7</v>
      </c>
      <c r="J9" s="193">
        <v>8</v>
      </c>
      <c r="K9" s="302">
        <v>9</v>
      </c>
      <c r="L9" s="303"/>
      <c r="M9" s="193">
        <v>10</v>
      </c>
      <c r="N9" s="298">
        <v>11</v>
      </c>
      <c r="O9" s="299"/>
      <c r="P9" s="193">
        <v>12</v>
      </c>
    </row>
    <row r="10" spans="1:18" s="195" customFormat="1" ht="27.75" customHeight="1">
      <c r="A10" s="194" t="s">
        <v>25</v>
      </c>
      <c r="B10" s="205">
        <v>136200</v>
      </c>
      <c r="C10" s="205">
        <v>137400</v>
      </c>
      <c r="D10" s="206">
        <v>11486.19</v>
      </c>
      <c r="E10" s="207">
        <v>11586.11</v>
      </c>
      <c r="F10" s="207">
        <v>101177.89</v>
      </c>
      <c r="G10" s="207">
        <v>136047.66705000002</v>
      </c>
      <c r="H10" s="208">
        <v>91192.95</v>
      </c>
      <c r="I10" s="209">
        <v>122499.25</v>
      </c>
      <c r="J10" s="210">
        <f>E10/D10*100</f>
        <v>100.86991421872702</v>
      </c>
      <c r="K10" s="211">
        <f>F10/B10*100</f>
        <v>74.28626284875183</v>
      </c>
      <c r="L10" s="212">
        <f>F10/C10*100</f>
        <v>73.63747452692867</v>
      </c>
      <c r="M10" s="210">
        <f>F10/H10*100</f>
        <v>110.94924552830017</v>
      </c>
      <c r="N10" s="210">
        <f>G10/B10*100</f>
        <v>99.88815495594714</v>
      </c>
      <c r="O10" s="210">
        <f>G10/C10*100</f>
        <v>99.01576932314413</v>
      </c>
      <c r="P10" s="210">
        <f>G10/I10*100</f>
        <v>111.06000000000003</v>
      </c>
      <c r="Q10" s="207">
        <f>'[1]TMBL'!$G$10+'[1]TMBL'!$F$10+'[1]TMBL'!$F$11</f>
        <v>136260.865210325</v>
      </c>
      <c r="R10" s="195">
        <f>Q10/I10*100</f>
        <v>111.23404038010436</v>
      </c>
    </row>
    <row r="11" spans="1:17" s="195" customFormat="1" ht="27.75" customHeight="1">
      <c r="A11" s="196" t="s">
        <v>26</v>
      </c>
      <c r="B11" s="213"/>
      <c r="C11" s="213"/>
      <c r="D11" s="214">
        <f>E11/E10*100</f>
        <v>100.11988493118051</v>
      </c>
      <c r="E11" s="214">
        <v>11600</v>
      </c>
      <c r="F11" s="214">
        <f>E11+F10</f>
        <v>112777.89</v>
      </c>
      <c r="G11" s="214">
        <f>F11/B10*100</f>
        <v>82.80314977973569</v>
      </c>
      <c r="H11" s="215"/>
      <c r="I11" s="216"/>
      <c r="J11" s="210"/>
      <c r="K11" s="210"/>
      <c r="L11" s="217"/>
      <c r="M11" s="210"/>
      <c r="N11" s="218"/>
      <c r="O11" s="218"/>
      <c r="P11" s="210"/>
      <c r="Q11" s="207"/>
    </row>
    <row r="12" spans="1:16" s="199" customFormat="1" ht="27.75" customHeight="1">
      <c r="A12" s="198" t="s">
        <v>0</v>
      </c>
      <c r="B12" s="219"/>
      <c r="C12" s="219"/>
      <c r="D12" s="220">
        <v>850.42</v>
      </c>
      <c r="E12" s="221">
        <v>856.22</v>
      </c>
      <c r="F12" s="221">
        <v>7327.888</v>
      </c>
      <c r="G12" s="221">
        <v>10245.080444999998</v>
      </c>
      <c r="H12" s="221">
        <v>7018.2</v>
      </c>
      <c r="I12" s="222">
        <v>9726.65</v>
      </c>
      <c r="J12" s="217">
        <f aca="true" t="shared" si="0" ref="J12:J19">E12/D12*100</f>
        <v>100.68201594506246</v>
      </c>
      <c r="K12" s="217"/>
      <c r="L12" s="217"/>
      <c r="M12" s="217">
        <f aca="true" t="shared" si="1" ref="M12:M19">F12/H12*100</f>
        <v>104.41264141802742</v>
      </c>
      <c r="N12" s="223"/>
      <c r="O12" s="223"/>
      <c r="P12" s="217">
        <f>G12/I12*100</f>
        <v>105.32999999999998</v>
      </c>
    </row>
    <row r="13" spans="1:16" s="199" customFormat="1" ht="27.75" customHeight="1">
      <c r="A13" s="198" t="s">
        <v>1</v>
      </c>
      <c r="B13" s="219"/>
      <c r="C13" s="219"/>
      <c r="D13" s="224">
        <v>10363.097</v>
      </c>
      <c r="E13" s="224">
        <v>10454.829000000002</v>
      </c>
      <c r="F13" s="224">
        <v>91633.62599999999</v>
      </c>
      <c r="G13" s="224">
        <v>122789.19448500001</v>
      </c>
      <c r="H13" s="224">
        <v>82057.51</v>
      </c>
      <c r="I13" s="222">
        <v>109937</v>
      </c>
      <c r="J13" s="217">
        <f t="shared" si="0"/>
        <v>100.88517940148589</v>
      </c>
      <c r="K13" s="217"/>
      <c r="L13" s="217"/>
      <c r="M13" s="217">
        <f t="shared" si="1"/>
        <v>111.67000558510732</v>
      </c>
      <c r="N13" s="223"/>
      <c r="O13" s="223"/>
      <c r="P13" s="217">
        <f>G13/I13*100</f>
        <v>111.69050864131276</v>
      </c>
    </row>
    <row r="14" spans="1:16" s="199" customFormat="1" ht="27.75" customHeight="1">
      <c r="A14" s="204" t="s">
        <v>2</v>
      </c>
      <c r="B14" s="219"/>
      <c r="C14" s="219"/>
      <c r="D14" s="220">
        <v>272.673</v>
      </c>
      <c r="E14" s="221">
        <v>275.061</v>
      </c>
      <c r="F14" s="221">
        <v>2216.3759999999997</v>
      </c>
      <c r="G14" s="221">
        <v>3013.3921200000004</v>
      </c>
      <c r="H14" s="221">
        <v>2117.24</v>
      </c>
      <c r="I14" s="222">
        <v>2835.6000000000004</v>
      </c>
      <c r="J14" s="217">
        <f t="shared" si="0"/>
        <v>100.87577427908153</v>
      </c>
      <c r="K14" s="217"/>
      <c r="L14" s="217"/>
      <c r="M14" s="217">
        <f t="shared" si="1"/>
        <v>104.68232226861385</v>
      </c>
      <c r="N14" s="223"/>
      <c r="O14" s="223"/>
      <c r="P14" s="217">
        <f>G14/I14*100</f>
        <v>106.27</v>
      </c>
    </row>
    <row r="15" spans="1:16" s="201" customFormat="1" ht="27.75" customHeight="1">
      <c r="A15" s="200" t="s">
        <v>27</v>
      </c>
      <c r="B15" s="213"/>
      <c r="C15" s="213"/>
      <c r="D15" s="214"/>
      <c r="E15" s="214"/>
      <c r="F15" s="214"/>
      <c r="G15" s="214">
        <f>G16+G17+G18+G19</f>
        <v>136047.66705000002</v>
      </c>
      <c r="H15" s="215"/>
      <c r="I15" s="216"/>
      <c r="J15" s="210"/>
      <c r="K15" s="217"/>
      <c r="L15" s="217"/>
      <c r="M15" s="217"/>
      <c r="N15" s="216"/>
      <c r="O15" s="216"/>
      <c r="P15" s="217"/>
    </row>
    <row r="16" spans="1:16" s="201" customFormat="1" ht="27.75" customHeight="1">
      <c r="A16" s="197" t="s">
        <v>3</v>
      </c>
      <c r="B16" s="225"/>
      <c r="C16" s="225"/>
      <c r="D16" s="226">
        <v>8837.885</v>
      </c>
      <c r="E16" s="226">
        <v>8915.403</v>
      </c>
      <c r="F16" s="226">
        <v>77907.55619958</v>
      </c>
      <c r="G16" s="226">
        <v>105317.86105</v>
      </c>
      <c r="H16" s="227">
        <v>70327.40199999999</v>
      </c>
      <c r="I16" s="222">
        <v>94886.49</v>
      </c>
      <c r="J16" s="217">
        <f t="shared" si="0"/>
        <v>100.87711030410556</v>
      </c>
      <c r="K16" s="217"/>
      <c r="L16" s="217"/>
      <c r="M16" s="217">
        <f t="shared" si="1"/>
        <v>110.7783793855772</v>
      </c>
      <c r="N16" s="216"/>
      <c r="O16" s="216"/>
      <c r="P16" s="217">
        <f>G16/I16*100</f>
        <v>110.99352610682512</v>
      </c>
    </row>
    <row r="17" spans="1:16" s="201" customFormat="1" ht="27.75" customHeight="1">
      <c r="A17" s="197" t="s">
        <v>4</v>
      </c>
      <c r="B17" s="225"/>
      <c r="C17" s="225"/>
      <c r="D17" s="226">
        <v>963.695</v>
      </c>
      <c r="E17" s="226">
        <v>971.312</v>
      </c>
      <c r="F17" s="226">
        <v>8522.467999999999</v>
      </c>
      <c r="G17" s="226">
        <v>11474.94</v>
      </c>
      <c r="H17" s="227">
        <v>7761.202</v>
      </c>
      <c r="I17" s="222">
        <v>10429.98</v>
      </c>
      <c r="J17" s="217">
        <f t="shared" si="0"/>
        <v>100.79039530141797</v>
      </c>
      <c r="K17" s="217"/>
      <c r="L17" s="217"/>
      <c r="M17" s="217">
        <f t="shared" si="1"/>
        <v>109.80860954269711</v>
      </c>
      <c r="N17" s="216"/>
      <c r="O17" s="216"/>
      <c r="P17" s="217">
        <f>G17/I17*100</f>
        <v>110.0188111578354</v>
      </c>
    </row>
    <row r="18" spans="1:16" s="201" customFormat="1" ht="27.75" customHeight="1">
      <c r="A18" s="202" t="s">
        <v>6</v>
      </c>
      <c r="B18" s="225"/>
      <c r="C18" s="225"/>
      <c r="D18" s="226">
        <v>6.486</v>
      </c>
      <c r="E18" s="226">
        <v>6.503</v>
      </c>
      <c r="F18" s="226">
        <v>58.907000000000004</v>
      </c>
      <c r="G18" s="226">
        <v>78.316</v>
      </c>
      <c r="H18" s="227">
        <v>55.356</v>
      </c>
      <c r="I18" s="222">
        <v>73.08</v>
      </c>
      <c r="J18" s="217">
        <f t="shared" si="0"/>
        <v>100.26210299105767</v>
      </c>
      <c r="K18" s="217"/>
      <c r="L18" s="217"/>
      <c r="M18" s="217">
        <f t="shared" si="1"/>
        <v>106.41484211286942</v>
      </c>
      <c r="N18" s="216"/>
      <c r="O18" s="216"/>
      <c r="P18" s="217">
        <f>G18/I18*100</f>
        <v>107.16475095785441</v>
      </c>
    </row>
    <row r="19" spans="1:16" s="201" customFormat="1" ht="27.75" customHeight="1">
      <c r="A19" s="203" t="s">
        <v>5</v>
      </c>
      <c r="B19" s="228"/>
      <c r="C19" s="228"/>
      <c r="D19" s="229">
        <v>1678.124</v>
      </c>
      <c r="E19" s="229">
        <v>1692.892</v>
      </c>
      <c r="F19" s="229">
        <v>14688.95880042</v>
      </c>
      <c r="G19" s="229">
        <v>19176.55</v>
      </c>
      <c r="H19" s="229">
        <v>13048.99</v>
      </c>
      <c r="I19" s="230">
        <v>17109.7</v>
      </c>
      <c r="J19" s="231">
        <f t="shared" si="0"/>
        <v>100.88003031957113</v>
      </c>
      <c r="K19" s="231"/>
      <c r="L19" s="231"/>
      <c r="M19" s="231">
        <f t="shared" si="1"/>
        <v>112.5677834102103</v>
      </c>
      <c r="N19" s="232"/>
      <c r="O19" s="232"/>
      <c r="P19" s="231">
        <f>G19/I19*100</f>
        <v>112.0799897134374</v>
      </c>
    </row>
    <row r="20" spans="1:12" ht="16.5">
      <c r="A20" s="57" t="s">
        <v>110</v>
      </c>
      <c r="J20" s="154"/>
      <c r="K20" s="18"/>
      <c r="L20" s="18"/>
    </row>
    <row r="21" spans="6:10" ht="16.5" hidden="1">
      <c r="F21" s="132">
        <f>F16/$F$10*100</f>
        <v>77.00057413687911</v>
      </c>
      <c r="G21" s="132"/>
      <c r="H21" s="132"/>
      <c r="J21" s="153" t="e">
        <f>E21/D21*100</f>
        <v>#DIV/0!</v>
      </c>
    </row>
    <row r="22" spans="6:10" ht="16.5" hidden="1">
      <c r="F22" s="132">
        <f>F17/$F$10*100</f>
        <v>8.423251364502658</v>
      </c>
      <c r="G22" s="132"/>
      <c r="H22" s="132"/>
      <c r="J22" s="34" t="e">
        <f>E22/D22*100</f>
        <v>#DIV/0!</v>
      </c>
    </row>
    <row r="23" spans="6:10" ht="16.5" hidden="1">
      <c r="F23" s="132">
        <f>F18/$F$10*100</f>
        <v>0.05822121809419034</v>
      </c>
      <c r="G23" s="132"/>
      <c r="H23" s="132"/>
      <c r="J23" s="34" t="e">
        <f>E23/D23*100</f>
        <v>#DIV/0!</v>
      </c>
    </row>
    <row r="24" spans="6:10" ht="16.5" hidden="1">
      <c r="F24" s="132">
        <f>F19/$F$10*100</f>
        <v>14.517953280524035</v>
      </c>
      <c r="G24" s="132"/>
      <c r="H24" s="132"/>
      <c r="J24" s="34" t="e">
        <f>E24/D24*100</f>
        <v>#DIV/0!</v>
      </c>
    </row>
    <row r="25" spans="6:8" ht="16.5" hidden="1">
      <c r="F25" s="132"/>
      <c r="G25" s="243">
        <f>G16/G15*100</f>
        <v>77.41247118283458</v>
      </c>
      <c r="H25" s="132"/>
    </row>
    <row r="26" spans="6:8" ht="16.5" hidden="1">
      <c r="F26" s="132"/>
      <c r="G26" s="243">
        <f>G17/G15*100</f>
        <v>8.434499649143376</v>
      </c>
      <c r="H26" s="132"/>
    </row>
    <row r="27" spans="6:8" ht="16.5" hidden="1">
      <c r="F27" s="132"/>
      <c r="G27" s="243">
        <f>G18/G15*100</f>
        <v>0.05756511794591629</v>
      </c>
      <c r="H27" s="132"/>
    </row>
    <row r="28" spans="6:8" ht="16.5" hidden="1">
      <c r="F28" s="132"/>
      <c r="G28" s="243">
        <f>G19/G15*100</f>
        <v>14.095464050076115</v>
      </c>
      <c r="H28" s="132"/>
    </row>
  </sheetData>
  <sheetProtection/>
  <mergeCells count="18">
    <mergeCell ref="N9:O9"/>
    <mergeCell ref="F4:F8"/>
    <mergeCell ref="L3:M3"/>
    <mergeCell ref="M5:M8"/>
    <mergeCell ref="K9:L9"/>
    <mergeCell ref="K5:L8"/>
    <mergeCell ref="G4:G8"/>
    <mergeCell ref="I4:I8"/>
    <mergeCell ref="P5:P8"/>
    <mergeCell ref="J4:P4"/>
    <mergeCell ref="N5:O8"/>
    <mergeCell ref="B9:C9"/>
    <mergeCell ref="E4:E8"/>
    <mergeCell ref="A4:A8"/>
    <mergeCell ref="H4:H8"/>
    <mergeCell ref="J5:J8"/>
    <mergeCell ref="D4:D8"/>
    <mergeCell ref="B4:C8"/>
  </mergeCells>
  <printOptions/>
  <pageMargins left="0.5118110236220472" right="0.15748031496062992" top="0.6299212598425197" bottom="0.4724409448818898" header="0.2755905511811024" footer="0.15748031496062992"/>
  <pageSetup firstPageNumber="3" useFirstPageNumber="1"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F6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5" sqref="E15"/>
    </sheetView>
  </sheetViews>
  <sheetFormatPr defaultColWidth="8.72265625" defaultRowHeight="16.5"/>
  <cols>
    <col min="1" max="1" width="17.0859375" style="36" customWidth="1"/>
    <col min="2" max="2" width="6.0859375" style="38" customWidth="1"/>
    <col min="3" max="4" width="5.90625" style="36" bestFit="1" customWidth="1"/>
    <col min="5" max="5" width="6.90625" style="36" customWidth="1"/>
    <col min="6" max="6" width="7.0859375" style="36" customWidth="1"/>
    <col min="7" max="7" width="6.99609375" style="36" customWidth="1"/>
    <col min="8" max="8" width="7.453125" style="36" bestFit="1" customWidth="1"/>
    <col min="9" max="9" width="8.0859375" style="36" customWidth="1"/>
    <col min="10" max="10" width="7.8125" style="36" customWidth="1"/>
    <col min="11" max="11" width="10.453125" style="36" bestFit="1" customWidth="1"/>
    <col min="12" max="12" width="7.8125" style="36" customWidth="1"/>
    <col min="13" max="13" width="5.18359375" style="36" customWidth="1"/>
    <col min="14" max="17" width="4.0859375" style="36" customWidth="1"/>
    <col min="18" max="18" width="5.99609375" style="36" customWidth="1"/>
    <col min="19" max="19" width="3.99609375" style="36" customWidth="1"/>
    <col min="20" max="20" width="5.0859375" style="36" customWidth="1"/>
    <col min="21" max="21" width="8.6328125" style="166" customWidth="1"/>
    <col min="22" max="23" width="8.18359375" style="166" customWidth="1"/>
    <col min="24" max="24" width="10.18359375" style="166" bestFit="1" customWidth="1"/>
    <col min="25" max="25" width="8.90625" style="166" customWidth="1"/>
    <col min="26" max="26" width="9.18359375" style="166" bestFit="1" customWidth="1"/>
    <col min="27" max="27" width="9.18359375" style="44" bestFit="1" customWidth="1"/>
    <col min="28" max="28" width="8.90625" style="44" customWidth="1"/>
    <col min="29" max="29" width="11.6328125" style="44" bestFit="1" customWidth="1"/>
    <col min="30" max="32" width="8.90625" style="44" customWidth="1"/>
    <col min="33" max="16384" width="8.90625" style="36" customWidth="1"/>
  </cols>
  <sheetData>
    <row r="1" spans="1:6" ht="16.5">
      <c r="A1" s="35" t="s">
        <v>7</v>
      </c>
      <c r="B1" s="40"/>
      <c r="C1" s="35"/>
      <c r="D1" s="35"/>
      <c r="E1" s="35"/>
      <c r="F1" s="35"/>
    </row>
    <row r="2" spans="1:17" ht="18.75">
      <c r="A2" s="311" t="s">
        <v>160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7"/>
    </row>
    <row r="3" spans="10:12" ht="16.5">
      <c r="J3" s="69"/>
      <c r="K3" s="69"/>
      <c r="L3" s="69"/>
    </row>
    <row r="4" spans="1:32" s="47" customFormat="1" ht="30" customHeight="1">
      <c r="A4" s="313" t="s">
        <v>13</v>
      </c>
      <c r="B4" s="313" t="s">
        <v>33</v>
      </c>
      <c r="C4" s="316" t="s">
        <v>109</v>
      </c>
      <c r="D4" s="317"/>
      <c r="E4" s="312" t="s">
        <v>161</v>
      </c>
      <c r="F4" s="312"/>
      <c r="G4" s="312" t="s">
        <v>162</v>
      </c>
      <c r="H4" s="312"/>
      <c r="I4" s="312" t="s">
        <v>157</v>
      </c>
      <c r="J4" s="312"/>
      <c r="K4" s="316" t="s">
        <v>165</v>
      </c>
      <c r="L4" s="317"/>
      <c r="M4" s="322" t="s">
        <v>9</v>
      </c>
      <c r="N4" s="322"/>
      <c r="O4" s="322"/>
      <c r="P4" s="322"/>
      <c r="Q4" s="322"/>
      <c r="R4" s="322"/>
      <c r="S4" s="322"/>
      <c r="T4" s="322"/>
      <c r="U4" s="167"/>
      <c r="V4" s="167"/>
      <c r="W4" s="167"/>
      <c r="X4" s="167"/>
      <c r="Y4" s="167"/>
      <c r="Z4" s="167"/>
      <c r="AA4" s="156"/>
      <c r="AB4" s="156"/>
      <c r="AC4" s="156"/>
      <c r="AD4" s="156"/>
      <c r="AE4" s="156"/>
      <c r="AF4" s="156"/>
    </row>
    <row r="5" spans="1:32" s="47" customFormat="1" ht="36" customHeight="1">
      <c r="A5" s="314"/>
      <c r="B5" s="314"/>
      <c r="C5" s="318"/>
      <c r="D5" s="319"/>
      <c r="E5" s="305" t="s">
        <v>54</v>
      </c>
      <c r="F5" s="305" t="s">
        <v>60</v>
      </c>
      <c r="G5" s="305" t="s">
        <v>54</v>
      </c>
      <c r="H5" s="305" t="s">
        <v>60</v>
      </c>
      <c r="I5" s="305" t="s">
        <v>54</v>
      </c>
      <c r="J5" s="305" t="s">
        <v>60</v>
      </c>
      <c r="K5" s="305" t="s">
        <v>54</v>
      </c>
      <c r="L5" s="305" t="s">
        <v>60</v>
      </c>
      <c r="M5" s="309" t="s">
        <v>164</v>
      </c>
      <c r="N5" s="309"/>
      <c r="O5" s="309" t="s">
        <v>87</v>
      </c>
      <c r="P5" s="309"/>
      <c r="Q5" s="309" t="s">
        <v>163</v>
      </c>
      <c r="R5" s="309"/>
      <c r="S5" s="309" t="s">
        <v>168</v>
      </c>
      <c r="T5" s="309"/>
      <c r="U5" s="167" t="s">
        <v>166</v>
      </c>
      <c r="V5" s="168" t="s">
        <v>167</v>
      </c>
      <c r="W5" s="304" t="s">
        <v>174</v>
      </c>
      <c r="X5" s="304"/>
      <c r="Y5" s="167" t="s">
        <v>173</v>
      </c>
      <c r="Z5" s="168"/>
      <c r="AA5" s="157"/>
      <c r="AB5" s="157"/>
      <c r="AC5" s="156"/>
      <c r="AD5" s="156"/>
      <c r="AE5" s="156"/>
      <c r="AF5" s="156"/>
    </row>
    <row r="6" spans="1:32" s="39" customFormat="1" ht="16.5">
      <c r="A6" s="315"/>
      <c r="B6" s="315"/>
      <c r="C6" s="320"/>
      <c r="D6" s="321"/>
      <c r="E6" s="306"/>
      <c r="F6" s="306"/>
      <c r="G6" s="306"/>
      <c r="H6" s="306"/>
      <c r="I6" s="306"/>
      <c r="J6" s="306"/>
      <c r="K6" s="306"/>
      <c r="L6" s="306"/>
      <c r="M6" s="140" t="s">
        <v>54</v>
      </c>
      <c r="N6" s="140" t="s">
        <v>60</v>
      </c>
      <c r="O6" s="140" t="s">
        <v>54</v>
      </c>
      <c r="P6" s="140" t="s">
        <v>60</v>
      </c>
      <c r="Q6" s="140" t="s">
        <v>54</v>
      </c>
      <c r="R6" s="140" t="s">
        <v>60</v>
      </c>
      <c r="S6" s="140" t="s">
        <v>54</v>
      </c>
      <c r="T6" s="140" t="s">
        <v>60</v>
      </c>
      <c r="U6" s="169"/>
      <c r="V6" s="169"/>
      <c r="W6" s="169" t="s">
        <v>54</v>
      </c>
      <c r="X6" s="169" t="s">
        <v>60</v>
      </c>
      <c r="Y6" s="169" t="s">
        <v>171</v>
      </c>
      <c r="Z6" s="170" t="s">
        <v>172</v>
      </c>
      <c r="AA6" s="158"/>
      <c r="AB6" s="158"/>
      <c r="AC6" s="158"/>
      <c r="AD6" s="158"/>
      <c r="AE6" s="158"/>
      <c r="AF6" s="158"/>
    </row>
    <row r="7" spans="1:32" s="39" customFormat="1" ht="16.5">
      <c r="A7" s="141" t="s">
        <v>10</v>
      </c>
      <c r="B7" s="141" t="s">
        <v>11</v>
      </c>
      <c r="C7" s="307">
        <v>1</v>
      </c>
      <c r="D7" s="308"/>
      <c r="E7" s="307">
        <v>2</v>
      </c>
      <c r="F7" s="308"/>
      <c r="G7" s="307">
        <v>3</v>
      </c>
      <c r="H7" s="308"/>
      <c r="I7" s="307">
        <v>4</v>
      </c>
      <c r="J7" s="308"/>
      <c r="K7" s="307">
        <v>5</v>
      </c>
      <c r="L7" s="308"/>
      <c r="M7" s="310">
        <v>6</v>
      </c>
      <c r="N7" s="310"/>
      <c r="O7" s="310">
        <v>8</v>
      </c>
      <c r="P7" s="310"/>
      <c r="Q7" s="310">
        <v>7</v>
      </c>
      <c r="R7" s="310"/>
      <c r="S7" s="310">
        <v>8</v>
      </c>
      <c r="T7" s="310"/>
      <c r="U7" s="170"/>
      <c r="V7" s="170"/>
      <c r="W7" s="170"/>
      <c r="X7" s="170"/>
      <c r="Y7" s="170"/>
      <c r="Z7" s="170"/>
      <c r="AA7" s="158"/>
      <c r="AB7" s="158"/>
      <c r="AC7" s="158"/>
      <c r="AD7" s="158"/>
      <c r="AE7" s="158"/>
      <c r="AF7" s="158"/>
    </row>
    <row r="8" spans="1:23" ht="21" customHeight="1">
      <c r="A8" s="96" t="s">
        <v>61</v>
      </c>
      <c r="B8" s="97"/>
      <c r="C8" s="247"/>
      <c r="D8" s="248"/>
      <c r="E8" s="249"/>
      <c r="F8" s="250"/>
      <c r="G8" s="250"/>
      <c r="H8" s="73">
        <f>H9+H38</f>
        <v>2619.4983093</v>
      </c>
      <c r="I8" s="251"/>
      <c r="J8" s="73">
        <f>J9+J38</f>
        <v>20935.208309299996</v>
      </c>
      <c r="K8" s="252"/>
      <c r="L8" s="73">
        <f>L9+L38</f>
        <v>28181.228</v>
      </c>
      <c r="M8" s="251"/>
      <c r="N8" s="251"/>
      <c r="O8" s="251"/>
      <c r="P8" s="251"/>
      <c r="Q8" s="251"/>
      <c r="R8" s="251"/>
      <c r="S8" s="253"/>
      <c r="T8" s="253"/>
      <c r="V8" s="185"/>
      <c r="W8" s="185"/>
    </row>
    <row r="9" spans="1:29" ht="21" customHeight="1">
      <c r="A9" s="98" t="s">
        <v>84</v>
      </c>
      <c r="B9" s="99" t="s">
        <v>71</v>
      </c>
      <c r="C9" s="72">
        <v>15800</v>
      </c>
      <c r="D9" s="72">
        <v>16200</v>
      </c>
      <c r="E9" s="72">
        <f>C9-J9</f>
        <v>4445.367690700001</v>
      </c>
      <c r="F9" s="82">
        <f>1422539/1000</f>
        <v>1422.539</v>
      </c>
      <c r="G9" s="73"/>
      <c r="H9" s="73">
        <f>1406464.3093/1000</f>
        <v>1406.4643093</v>
      </c>
      <c r="I9" s="72"/>
      <c r="J9" s="73">
        <f>11354632.3093/1000</f>
        <v>11354.6323093</v>
      </c>
      <c r="K9" s="269">
        <f>L9+K10+K13+K14</f>
        <v>15671.695775745633</v>
      </c>
      <c r="L9" s="244">
        <f>15233990/1000</f>
        <v>15233.99</v>
      </c>
      <c r="M9" s="146"/>
      <c r="N9" s="146">
        <f>H9/F9*100</f>
        <v>98.87</v>
      </c>
      <c r="O9" s="146"/>
      <c r="P9" s="146"/>
      <c r="Q9" s="146"/>
      <c r="R9" s="146">
        <v>108.23934786707721</v>
      </c>
      <c r="S9" s="254"/>
      <c r="T9" s="146">
        <f>L9/X9*100</f>
        <v>107.90001598598502</v>
      </c>
      <c r="U9" s="184">
        <f>J9/R9*100</f>
        <v>10490.299999999997</v>
      </c>
      <c r="V9" s="186">
        <f>J9/U9*100</f>
        <v>108.23934786707723</v>
      </c>
      <c r="W9" s="186"/>
      <c r="X9" s="184">
        <f>14118617/1000</f>
        <v>14118.617</v>
      </c>
      <c r="Z9" s="172"/>
      <c r="AA9" s="160"/>
      <c r="AC9" s="161"/>
    </row>
    <row r="10" spans="1:26" s="44" customFormat="1" ht="21" customHeight="1">
      <c r="A10" s="100" t="s">
        <v>62</v>
      </c>
      <c r="B10" s="101" t="s">
        <v>71</v>
      </c>
      <c r="C10" s="74"/>
      <c r="D10" s="74"/>
      <c r="E10" s="74">
        <f>E9/3</f>
        <v>1481.7892302333337</v>
      </c>
      <c r="F10" s="75">
        <f>190386/1000</f>
        <v>190.386</v>
      </c>
      <c r="G10" s="75"/>
      <c r="H10" s="75">
        <f>175166/1000</f>
        <v>175.166</v>
      </c>
      <c r="I10" s="75"/>
      <c r="J10" s="75">
        <f>1770534/1000</f>
        <v>1770.534</v>
      </c>
      <c r="K10" s="75">
        <f>(K16-L16)/1000</f>
        <v>304.74744940714584</v>
      </c>
      <c r="L10" s="75">
        <f>2524630/1000</f>
        <v>2524.63</v>
      </c>
      <c r="M10" s="147"/>
      <c r="N10" s="147">
        <f aca="true" t="shared" si="0" ref="N10:N35">H10/F10*100</f>
        <v>92.00571470591325</v>
      </c>
      <c r="O10" s="147"/>
      <c r="P10" s="147"/>
      <c r="Q10" s="147"/>
      <c r="R10" s="147">
        <v>106.74516400336425</v>
      </c>
      <c r="S10" s="255"/>
      <c r="T10" s="147">
        <f>L10/X10*100</f>
        <v>106.6021977205321</v>
      </c>
      <c r="U10" s="184">
        <f>U9-U13</f>
        <v>1658.6549999999988</v>
      </c>
      <c r="V10" s="186">
        <f>J10/U10*100</f>
        <v>106.74516400336425</v>
      </c>
      <c r="W10" s="186"/>
      <c r="X10" s="184">
        <f>2368272/1000</f>
        <v>2368.272</v>
      </c>
      <c r="Y10" s="166"/>
      <c r="Z10" s="166"/>
    </row>
    <row r="11" spans="1:24" ht="21" customHeight="1" hidden="1">
      <c r="A11" s="102" t="s">
        <v>64</v>
      </c>
      <c r="B11" s="103" t="s">
        <v>71</v>
      </c>
      <c r="C11" s="76"/>
      <c r="D11" s="76"/>
      <c r="E11" s="76"/>
      <c r="F11" s="77"/>
      <c r="G11" s="77"/>
      <c r="H11" s="77"/>
      <c r="I11" s="77"/>
      <c r="J11" s="77"/>
      <c r="K11" s="75">
        <f>(K17-L17)/1000</f>
        <v>68.71679682858172</v>
      </c>
      <c r="L11" s="77"/>
      <c r="M11" s="147"/>
      <c r="N11" s="147" t="e">
        <f t="shared" si="0"/>
        <v>#DIV/0!</v>
      </c>
      <c r="O11" s="147"/>
      <c r="P11" s="147"/>
      <c r="Q11" s="147"/>
      <c r="R11" s="147"/>
      <c r="S11" s="120"/>
      <c r="T11" s="147" t="e">
        <f>L11/X11*100</f>
        <v>#DIV/0!</v>
      </c>
      <c r="U11" s="184"/>
      <c r="V11" s="185" t="e">
        <f>J11/U11*100</f>
        <v>#DIV/0!</v>
      </c>
      <c r="W11" s="185"/>
      <c r="X11" s="184"/>
    </row>
    <row r="12" spans="1:24" ht="21" customHeight="1" hidden="1">
      <c r="A12" s="102" t="s">
        <v>63</v>
      </c>
      <c r="B12" s="103" t="s">
        <v>71</v>
      </c>
      <c r="C12" s="76"/>
      <c r="D12" s="76"/>
      <c r="E12" s="76"/>
      <c r="F12" s="77"/>
      <c r="G12" s="77"/>
      <c r="H12" s="77"/>
      <c r="I12" s="77"/>
      <c r="J12" s="77"/>
      <c r="K12" s="75">
        <f>(K18-L18)/1000</f>
        <v>64.24152950990573</v>
      </c>
      <c r="L12" s="77"/>
      <c r="M12" s="147"/>
      <c r="N12" s="147" t="e">
        <f t="shared" si="0"/>
        <v>#DIV/0!</v>
      </c>
      <c r="O12" s="147"/>
      <c r="P12" s="147"/>
      <c r="Q12" s="147"/>
      <c r="R12" s="147"/>
      <c r="S12" s="120"/>
      <c r="T12" s="147" t="e">
        <f>L12/X12*100</f>
        <v>#DIV/0!</v>
      </c>
      <c r="U12" s="184"/>
      <c r="V12" s="185" t="e">
        <f>J12/U12*100</f>
        <v>#DIV/0!</v>
      </c>
      <c r="W12" s="185"/>
      <c r="X12" s="184"/>
    </row>
    <row r="13" spans="1:24" ht="21" customHeight="1">
      <c r="A13" s="102" t="s">
        <v>55</v>
      </c>
      <c r="B13" s="103" t="s">
        <v>71</v>
      </c>
      <c r="C13" s="76"/>
      <c r="D13" s="76"/>
      <c r="E13" s="76"/>
      <c r="F13" s="77">
        <f>1232153/1000</f>
        <v>1232.153</v>
      </c>
      <c r="G13" s="77"/>
      <c r="H13" s="77">
        <f>1231298.3093/1000</f>
        <v>1231.2983093</v>
      </c>
      <c r="I13" s="77"/>
      <c r="J13" s="77">
        <f>9584098.3093/1000</f>
        <v>9584.0983093</v>
      </c>
      <c r="K13" s="75">
        <f>(K17-L17)/1000</f>
        <v>68.71679682858172</v>
      </c>
      <c r="L13" s="77">
        <f>12709360/1000</f>
        <v>12709.36</v>
      </c>
      <c r="M13" s="147"/>
      <c r="N13" s="147">
        <f t="shared" si="0"/>
        <v>99.9306343692707</v>
      </c>
      <c r="O13" s="147"/>
      <c r="P13" s="147"/>
      <c r="Q13" s="147"/>
      <c r="R13" s="147">
        <v>108.51996778969264</v>
      </c>
      <c r="S13" s="120"/>
      <c r="T13" s="147">
        <f>L13/X13*100</f>
        <v>108.1615901490552</v>
      </c>
      <c r="U13" s="184">
        <f>J13/R13*100</f>
        <v>8831.644999999999</v>
      </c>
      <c r="V13" s="186">
        <f>J13/U13*100</f>
        <v>108.51996778969264</v>
      </c>
      <c r="W13" s="186"/>
      <c r="X13" s="184">
        <f>11750345/1000</f>
        <v>11750.345</v>
      </c>
    </row>
    <row r="14" spans="1:23" ht="21" customHeight="1">
      <c r="A14" s="98" t="s">
        <v>85</v>
      </c>
      <c r="B14" s="104"/>
      <c r="C14" s="76"/>
      <c r="D14" s="76"/>
      <c r="E14" s="76"/>
      <c r="F14" s="128"/>
      <c r="G14" s="128"/>
      <c r="H14" s="128"/>
      <c r="I14" s="128"/>
      <c r="J14" s="128"/>
      <c r="K14" s="75">
        <f>(K18-L18)/1000</f>
        <v>64.24152950990573</v>
      </c>
      <c r="L14" s="128"/>
      <c r="M14" s="147"/>
      <c r="N14" s="147"/>
      <c r="O14" s="147"/>
      <c r="P14" s="147"/>
      <c r="Q14" s="147"/>
      <c r="R14" s="147"/>
      <c r="S14" s="120"/>
      <c r="T14" s="120"/>
      <c r="U14" s="260" t="s">
        <v>175</v>
      </c>
      <c r="V14" s="185"/>
      <c r="W14" s="185"/>
    </row>
    <row r="15" spans="1:29" ht="24" customHeight="1">
      <c r="A15" s="142" t="s">
        <v>94</v>
      </c>
      <c r="B15" s="58" t="s">
        <v>56</v>
      </c>
      <c r="C15" s="76"/>
      <c r="D15" s="76"/>
      <c r="E15" s="48"/>
      <c r="F15" s="68">
        <v>294055</v>
      </c>
      <c r="G15" s="68"/>
      <c r="H15" s="68">
        <v>298910</v>
      </c>
      <c r="I15" s="68"/>
      <c r="J15" s="68">
        <v>2328646</v>
      </c>
      <c r="K15" s="268" t="s">
        <v>176</v>
      </c>
      <c r="L15" s="68">
        <v>3225376</v>
      </c>
      <c r="M15" s="147"/>
      <c r="N15" s="147">
        <f t="shared" si="0"/>
        <v>101.65105167400657</v>
      </c>
      <c r="O15" s="147"/>
      <c r="P15" s="147"/>
      <c r="Q15" s="147"/>
      <c r="R15" s="147">
        <v>122.87260621864729</v>
      </c>
      <c r="S15" s="256"/>
      <c r="T15" s="120"/>
      <c r="U15" s="259">
        <f>(J15/1000)/J$9*100</f>
        <v>20.508334718093206</v>
      </c>
      <c r="V15" s="260">
        <v>2015</v>
      </c>
      <c r="W15" s="239"/>
      <c r="X15" s="239">
        <v>2628809</v>
      </c>
      <c r="Y15" s="173"/>
      <c r="Z15" s="173">
        <v>2629231</v>
      </c>
      <c r="AA15" s="159"/>
      <c r="AC15" s="163"/>
    </row>
    <row r="16" spans="1:29" ht="24" customHeight="1">
      <c r="A16" s="261" t="s">
        <v>95</v>
      </c>
      <c r="B16" s="262" t="s">
        <v>56</v>
      </c>
      <c r="C16" s="263"/>
      <c r="D16" s="263"/>
      <c r="E16" s="264"/>
      <c r="F16" s="265">
        <v>169402</v>
      </c>
      <c r="G16" s="265"/>
      <c r="H16" s="265">
        <v>171500</v>
      </c>
      <c r="I16" s="265"/>
      <c r="J16" s="265">
        <v>1324778</v>
      </c>
      <c r="K16" s="265">
        <f>V16*1.15</f>
        <v>2144025.449407146</v>
      </c>
      <c r="L16" s="265">
        <v>1839278</v>
      </c>
      <c r="M16" s="266"/>
      <c r="N16" s="266">
        <f t="shared" si="0"/>
        <v>101.2384741620524</v>
      </c>
      <c r="O16" s="266"/>
      <c r="P16" s="266"/>
      <c r="Q16" s="266"/>
      <c r="R16" s="266">
        <v>98.65413214124278</v>
      </c>
      <c r="S16" s="256"/>
      <c r="T16" s="257"/>
      <c r="U16" s="259">
        <f aca="true" t="shared" si="1" ref="U16:U35">(J16/1000)/J$9*100</f>
        <v>11.667291057192068</v>
      </c>
      <c r="V16" s="162">
        <f>L16/(R16/100)</f>
        <v>1864369.9560062138</v>
      </c>
      <c r="W16" s="239"/>
      <c r="X16" s="239">
        <v>1770602</v>
      </c>
      <c r="Y16" s="173"/>
      <c r="Z16" s="173">
        <v>1813426</v>
      </c>
      <c r="AA16" s="159"/>
      <c r="AC16" s="163"/>
    </row>
    <row r="17" spans="1:29" ht="24" customHeight="1">
      <c r="A17" s="261" t="s">
        <v>93</v>
      </c>
      <c r="B17" s="262" t="s">
        <v>56</v>
      </c>
      <c r="C17" s="263"/>
      <c r="D17" s="263"/>
      <c r="E17" s="267"/>
      <c r="F17" s="265">
        <v>108756</v>
      </c>
      <c r="G17" s="265"/>
      <c r="H17" s="265">
        <v>108700</v>
      </c>
      <c r="I17" s="265"/>
      <c r="J17" s="265">
        <v>865228</v>
      </c>
      <c r="K17" s="265">
        <f>V17*1.1</f>
        <v>1230044.7968285817</v>
      </c>
      <c r="L17" s="265">
        <v>1161328</v>
      </c>
      <c r="M17" s="266"/>
      <c r="N17" s="266">
        <f t="shared" si="0"/>
        <v>99.94850858803193</v>
      </c>
      <c r="O17" s="266"/>
      <c r="P17" s="266"/>
      <c r="Q17" s="266"/>
      <c r="R17" s="266">
        <v>103.85481921420023</v>
      </c>
      <c r="S17" s="256"/>
      <c r="T17" s="120"/>
      <c r="U17" s="259">
        <f t="shared" si="1"/>
        <v>7.620044193692964</v>
      </c>
      <c r="V17" s="162">
        <f>L17/(R17/100)</f>
        <v>1118222.5425714378</v>
      </c>
      <c r="W17" s="240"/>
      <c r="X17" s="240">
        <v>1101551</v>
      </c>
      <c r="Y17" s="173"/>
      <c r="Z17" s="173"/>
      <c r="AA17" s="159"/>
      <c r="AC17" s="163"/>
    </row>
    <row r="18" spans="1:29" ht="24" customHeight="1">
      <c r="A18" s="261" t="s">
        <v>96</v>
      </c>
      <c r="B18" s="262" t="s">
        <v>56</v>
      </c>
      <c r="C18" s="263"/>
      <c r="D18" s="263"/>
      <c r="E18" s="264"/>
      <c r="F18" s="265">
        <v>106851</v>
      </c>
      <c r="G18" s="265"/>
      <c r="H18" s="265">
        <v>107385.255</v>
      </c>
      <c r="I18" s="265"/>
      <c r="J18" s="265">
        <v>857998.255</v>
      </c>
      <c r="K18" s="265">
        <f>V18*1.07</f>
        <v>1274395.5295099057</v>
      </c>
      <c r="L18" s="265">
        <v>1210154</v>
      </c>
      <c r="M18" s="266"/>
      <c r="N18" s="266">
        <f t="shared" si="0"/>
        <v>100.50000000000001</v>
      </c>
      <c r="O18" s="266"/>
      <c r="P18" s="266"/>
      <c r="Q18" s="266"/>
      <c r="R18" s="266">
        <v>101.60619289821004</v>
      </c>
      <c r="S18" s="256"/>
      <c r="T18" s="257"/>
      <c r="U18" s="259">
        <f t="shared" si="1"/>
        <v>7.556371986587865</v>
      </c>
      <c r="V18" s="162">
        <f>L18/(R18/100)</f>
        <v>1191023.859355052</v>
      </c>
      <c r="W18" s="240"/>
      <c r="X18" s="240">
        <v>1213721</v>
      </c>
      <c r="Y18" s="173"/>
      <c r="Z18" s="173"/>
      <c r="AA18" s="159"/>
      <c r="AB18" s="164"/>
      <c r="AC18" s="163"/>
    </row>
    <row r="19" spans="1:29" ht="32.25" customHeight="1">
      <c r="A19" s="142" t="s">
        <v>106</v>
      </c>
      <c r="B19" s="58" t="s">
        <v>56</v>
      </c>
      <c r="C19" s="76"/>
      <c r="D19" s="76"/>
      <c r="E19" s="49"/>
      <c r="F19" s="68">
        <v>94445</v>
      </c>
      <c r="G19" s="68"/>
      <c r="H19" s="68">
        <v>98695.025</v>
      </c>
      <c r="I19" s="68"/>
      <c r="J19" s="68">
        <v>752141.025</v>
      </c>
      <c r="K19" s="68"/>
      <c r="L19" s="68">
        <v>1008226.1</v>
      </c>
      <c r="M19" s="147"/>
      <c r="N19" s="147">
        <f t="shared" si="0"/>
        <v>104.5</v>
      </c>
      <c r="O19" s="147"/>
      <c r="P19" s="147"/>
      <c r="Q19" s="147"/>
      <c r="R19" s="147">
        <v>100.39322539525759</v>
      </c>
      <c r="S19" s="256"/>
      <c r="T19" s="120"/>
      <c r="U19" s="259">
        <f t="shared" si="1"/>
        <v>6.624089662365902</v>
      </c>
      <c r="V19" s="173"/>
      <c r="W19" s="240"/>
      <c r="X19" s="240">
        <v>916982</v>
      </c>
      <c r="Y19" s="173"/>
      <c r="Z19" s="173"/>
      <c r="AA19" s="159"/>
      <c r="AC19" s="163"/>
    </row>
    <row r="20" spans="1:29" ht="31.5" customHeight="1">
      <c r="A20" s="142" t="s">
        <v>107</v>
      </c>
      <c r="B20" s="58" t="s">
        <v>56</v>
      </c>
      <c r="C20" s="76"/>
      <c r="D20" s="76"/>
      <c r="E20" s="48"/>
      <c r="F20" s="68">
        <v>72864</v>
      </c>
      <c r="G20" s="68"/>
      <c r="H20" s="68">
        <v>70605.216</v>
      </c>
      <c r="I20" s="68"/>
      <c r="J20" s="145">
        <v>582886.216</v>
      </c>
      <c r="K20" s="145"/>
      <c r="L20" s="145">
        <v>794701.8640000001</v>
      </c>
      <c r="M20" s="147"/>
      <c r="N20" s="147">
        <f t="shared" si="0"/>
        <v>96.89999999999999</v>
      </c>
      <c r="O20" s="147"/>
      <c r="P20" s="147"/>
      <c r="Q20" s="147"/>
      <c r="R20" s="147">
        <v>106.95532798391136</v>
      </c>
      <c r="S20" s="256"/>
      <c r="T20" s="120"/>
      <c r="U20" s="259">
        <f t="shared" si="1"/>
        <v>5.133466237586467</v>
      </c>
      <c r="V20" s="173"/>
      <c r="W20" s="240"/>
      <c r="X20" s="240">
        <v>719271</v>
      </c>
      <c r="Y20" s="173"/>
      <c r="Z20" s="173">
        <v>729436</v>
      </c>
      <c r="AA20" s="159"/>
      <c r="AC20" s="163"/>
    </row>
    <row r="21" spans="1:29" ht="24" customHeight="1">
      <c r="A21" s="144" t="s">
        <v>80</v>
      </c>
      <c r="B21" s="58" t="s">
        <v>12</v>
      </c>
      <c r="C21" s="76"/>
      <c r="D21" s="76"/>
      <c r="E21" s="49">
        <v>32992</v>
      </c>
      <c r="F21" s="49">
        <v>61009</v>
      </c>
      <c r="G21" s="68">
        <v>33000</v>
      </c>
      <c r="H21" s="68">
        <v>61023.793646944716</v>
      </c>
      <c r="I21" s="70">
        <v>271256</v>
      </c>
      <c r="J21" s="70">
        <v>466432.7936469447</v>
      </c>
      <c r="K21" s="70">
        <v>380256</v>
      </c>
      <c r="L21" s="70">
        <v>703171.6265761397</v>
      </c>
      <c r="M21" s="147">
        <f>G21/E21*100</f>
        <v>100.02424830261883</v>
      </c>
      <c r="N21" s="147">
        <f t="shared" si="0"/>
        <v>100.02424830261883</v>
      </c>
      <c r="O21" s="147"/>
      <c r="P21" s="147"/>
      <c r="Q21" s="147">
        <v>141.02429463417678</v>
      </c>
      <c r="R21" s="147">
        <v>123.40373350661149</v>
      </c>
      <c r="S21" s="256"/>
      <c r="T21" s="120"/>
      <c r="U21" s="259">
        <f t="shared" si="1"/>
        <v>4.1078634775774585</v>
      </c>
      <c r="V21" s="173"/>
      <c r="W21" s="240">
        <v>262663</v>
      </c>
      <c r="X21" s="241">
        <v>504120.388862792</v>
      </c>
      <c r="Y21" s="173">
        <v>265059</v>
      </c>
      <c r="Z21" s="173"/>
      <c r="AA21" s="159"/>
      <c r="AB21" s="164"/>
      <c r="AC21" s="163"/>
    </row>
    <row r="22" spans="1:29" ht="24" customHeight="1">
      <c r="A22" s="142" t="s">
        <v>92</v>
      </c>
      <c r="B22" s="58" t="s">
        <v>56</v>
      </c>
      <c r="C22" s="76"/>
      <c r="D22" s="76"/>
      <c r="E22" s="48"/>
      <c r="F22" s="68">
        <v>46662</v>
      </c>
      <c r="G22" s="68"/>
      <c r="H22" s="68">
        <v>45962.07</v>
      </c>
      <c r="I22" s="68"/>
      <c r="J22" s="68">
        <v>381594.07</v>
      </c>
      <c r="K22" s="68"/>
      <c r="L22" s="68">
        <v>519480.28</v>
      </c>
      <c r="M22" s="147"/>
      <c r="N22" s="147">
        <f t="shared" si="0"/>
        <v>98.5</v>
      </c>
      <c r="O22" s="147"/>
      <c r="P22" s="147"/>
      <c r="Q22" s="147"/>
      <c r="R22" s="147">
        <v>97.69533482165717</v>
      </c>
      <c r="S22" s="256"/>
      <c r="T22" s="257"/>
      <c r="U22" s="259">
        <f t="shared" si="1"/>
        <v>3.3606906820527844</v>
      </c>
      <c r="V22" s="173"/>
      <c r="W22" s="240"/>
      <c r="X22" s="240">
        <v>517086</v>
      </c>
      <c r="Y22" s="173"/>
      <c r="Z22" s="173"/>
      <c r="AA22" s="159"/>
      <c r="AC22" s="163"/>
    </row>
    <row r="23" spans="1:29" ht="35.25" customHeight="1">
      <c r="A23" s="142" t="s">
        <v>108</v>
      </c>
      <c r="B23" s="58" t="s">
        <v>56</v>
      </c>
      <c r="C23" s="76"/>
      <c r="D23" s="76"/>
      <c r="E23" s="48"/>
      <c r="F23" s="68">
        <v>49121</v>
      </c>
      <c r="G23" s="68"/>
      <c r="H23" s="68">
        <v>49366.605</v>
      </c>
      <c r="I23" s="68"/>
      <c r="J23" s="68">
        <v>358530.605</v>
      </c>
      <c r="K23" s="68"/>
      <c r="L23" s="68">
        <v>470630</v>
      </c>
      <c r="M23" s="147"/>
      <c r="N23" s="147">
        <f t="shared" si="0"/>
        <v>100.50000000000001</v>
      </c>
      <c r="O23" s="147"/>
      <c r="P23" s="147"/>
      <c r="Q23" s="147"/>
      <c r="R23" s="147">
        <v>113.0758110959375</v>
      </c>
      <c r="S23" s="256"/>
      <c r="T23" s="120"/>
      <c r="U23" s="259">
        <f t="shared" si="1"/>
        <v>3.1575712469909387</v>
      </c>
      <c r="V23" s="173"/>
      <c r="W23" s="240"/>
      <c r="X23" s="240">
        <v>384909</v>
      </c>
      <c r="Y23" s="173"/>
      <c r="Z23" s="173">
        <v>388345</v>
      </c>
      <c r="AA23" s="159"/>
      <c r="AC23" s="163"/>
    </row>
    <row r="24" spans="1:29" ht="30" customHeight="1">
      <c r="A24" s="142" t="s">
        <v>88</v>
      </c>
      <c r="B24" s="58" t="s">
        <v>56</v>
      </c>
      <c r="C24" s="76"/>
      <c r="D24" s="76"/>
      <c r="E24" s="49"/>
      <c r="F24" s="68">
        <v>28977</v>
      </c>
      <c r="G24" s="68"/>
      <c r="H24" s="68">
        <v>28832.115</v>
      </c>
      <c r="I24" s="68"/>
      <c r="J24" s="68">
        <v>238239.115</v>
      </c>
      <c r="K24" s="68"/>
      <c r="L24" s="68">
        <v>324735.45999999996</v>
      </c>
      <c r="M24" s="147"/>
      <c r="N24" s="147">
        <f t="shared" si="0"/>
        <v>99.50000000000001</v>
      </c>
      <c r="O24" s="147"/>
      <c r="P24" s="147"/>
      <c r="Q24" s="147"/>
      <c r="R24" s="147">
        <v>102.4724032328133</v>
      </c>
      <c r="S24" s="256"/>
      <c r="T24" s="120"/>
      <c r="U24" s="259">
        <f t="shared" si="1"/>
        <v>2.0981667086205027</v>
      </c>
      <c r="V24" s="173"/>
      <c r="W24" s="240"/>
      <c r="X24" s="240">
        <v>402130</v>
      </c>
      <c r="Y24" s="173"/>
      <c r="Z24" s="173"/>
      <c r="AA24" s="159"/>
      <c r="AC24" s="163"/>
    </row>
    <row r="25" spans="1:29" ht="24" customHeight="1">
      <c r="A25" s="142" t="s">
        <v>65</v>
      </c>
      <c r="B25" s="58" t="s">
        <v>56</v>
      </c>
      <c r="C25" s="76"/>
      <c r="D25" s="76"/>
      <c r="E25" s="49"/>
      <c r="F25" s="49">
        <v>27921</v>
      </c>
      <c r="G25" s="68"/>
      <c r="H25" s="68">
        <v>26915.844000000005</v>
      </c>
      <c r="I25" s="68"/>
      <c r="J25" s="68">
        <v>226291.844</v>
      </c>
      <c r="K25" s="68"/>
      <c r="L25" s="68">
        <v>307039.37600000005</v>
      </c>
      <c r="M25" s="147"/>
      <c r="N25" s="147">
        <f t="shared" si="0"/>
        <v>96.40000000000002</v>
      </c>
      <c r="O25" s="147"/>
      <c r="P25" s="147"/>
      <c r="Q25" s="147"/>
      <c r="R25" s="147">
        <v>113.88102400998446</v>
      </c>
      <c r="S25" s="256"/>
      <c r="T25" s="120"/>
      <c r="U25" s="259">
        <f t="shared" si="1"/>
        <v>1.9929473525501653</v>
      </c>
      <c r="V25" s="173"/>
      <c r="W25" s="240"/>
      <c r="X25" s="240">
        <v>281346</v>
      </c>
      <c r="Y25" s="173"/>
      <c r="Z25" s="173"/>
      <c r="AA25" s="159"/>
      <c r="AC25" s="163"/>
    </row>
    <row r="26" spans="1:32" s="143" customFormat="1" ht="24" customHeight="1">
      <c r="A26" s="144" t="s">
        <v>86</v>
      </c>
      <c r="B26" s="58" t="s">
        <v>12</v>
      </c>
      <c r="C26" s="76"/>
      <c r="D26" s="76"/>
      <c r="E26" s="49">
        <v>3836</v>
      </c>
      <c r="F26" s="49">
        <v>32362</v>
      </c>
      <c r="G26" s="68">
        <v>3830</v>
      </c>
      <c r="H26" s="68">
        <v>32311.38164754953</v>
      </c>
      <c r="I26" s="68">
        <v>28733</v>
      </c>
      <c r="J26" s="68">
        <v>230055.38164754954</v>
      </c>
      <c r="K26" s="68">
        <v>40223</v>
      </c>
      <c r="L26" s="68">
        <v>339336.9984358707</v>
      </c>
      <c r="M26" s="147">
        <f>G26/E26*100</f>
        <v>99.84358706986444</v>
      </c>
      <c r="N26" s="147">
        <f t="shared" si="0"/>
        <v>99.84358706986444</v>
      </c>
      <c r="O26" s="147"/>
      <c r="P26" s="147"/>
      <c r="Q26" s="238">
        <v>97.11031499256455</v>
      </c>
      <c r="R26" s="238">
        <v>108.83292096258445</v>
      </c>
      <c r="S26" s="256"/>
      <c r="T26" s="120"/>
      <c r="U26" s="259">
        <f t="shared" si="1"/>
        <v>2.0260927468265346</v>
      </c>
      <c r="V26" s="173"/>
      <c r="W26" s="240">
        <v>39000</v>
      </c>
      <c r="X26" s="240">
        <v>280077.51906701224</v>
      </c>
      <c r="Y26" s="173">
        <v>39746</v>
      </c>
      <c r="Z26" s="173"/>
      <c r="AA26" s="159"/>
      <c r="AB26" s="165"/>
      <c r="AC26" s="163"/>
      <c r="AD26" s="165"/>
      <c r="AE26" s="165"/>
      <c r="AF26" s="165"/>
    </row>
    <row r="27" spans="1:29" ht="29.25" customHeight="1">
      <c r="A27" s="142" t="s">
        <v>78</v>
      </c>
      <c r="B27" s="58" t="s">
        <v>56</v>
      </c>
      <c r="C27" s="76"/>
      <c r="D27" s="76"/>
      <c r="E27" s="48"/>
      <c r="F27" s="68">
        <v>21653</v>
      </c>
      <c r="G27" s="68"/>
      <c r="H27" s="68">
        <v>21068.369</v>
      </c>
      <c r="I27" s="68"/>
      <c r="J27" s="68">
        <v>208567.369</v>
      </c>
      <c r="K27" s="68"/>
      <c r="L27" s="68">
        <v>275772</v>
      </c>
      <c r="M27" s="147"/>
      <c r="N27" s="147">
        <f t="shared" si="0"/>
        <v>97.3</v>
      </c>
      <c r="O27" s="147"/>
      <c r="P27" s="147"/>
      <c r="Q27" s="147"/>
      <c r="R27" s="147">
        <v>106.2216994056562</v>
      </c>
      <c r="S27" s="256"/>
      <c r="T27" s="120"/>
      <c r="U27" s="259">
        <f t="shared" si="1"/>
        <v>1.8368482863964968</v>
      </c>
      <c r="V27" s="173"/>
      <c r="W27" s="240"/>
      <c r="X27" s="240">
        <v>249130</v>
      </c>
      <c r="Y27" s="173"/>
      <c r="Z27" s="173"/>
      <c r="AA27" s="159"/>
      <c r="AC27" s="163"/>
    </row>
    <row r="28" spans="1:29" ht="24" customHeight="1">
      <c r="A28" s="142" t="s">
        <v>91</v>
      </c>
      <c r="B28" s="58" t="s">
        <v>12</v>
      </c>
      <c r="C28" s="76"/>
      <c r="D28" s="76"/>
      <c r="E28" s="49">
        <v>23132</v>
      </c>
      <c r="F28" s="49">
        <v>25582</v>
      </c>
      <c r="G28" s="68">
        <v>23200</v>
      </c>
      <c r="H28" s="68">
        <v>25657.202144215807</v>
      </c>
      <c r="I28" s="68">
        <v>172417</v>
      </c>
      <c r="J28" s="68">
        <v>196521.20214421581</v>
      </c>
      <c r="K28" s="68">
        <v>242017</v>
      </c>
      <c r="L28" s="68">
        <v>267649.96083347744</v>
      </c>
      <c r="M28" s="147">
        <f>G28/E28*100</f>
        <v>100.29396507003285</v>
      </c>
      <c r="N28" s="147">
        <f t="shared" si="0"/>
        <v>100.29396507003287</v>
      </c>
      <c r="O28" s="147"/>
      <c r="P28" s="147"/>
      <c r="Q28" s="147">
        <v>164.64257749088063</v>
      </c>
      <c r="R28" s="147">
        <v>120.79117498645675</v>
      </c>
      <c r="S28" s="256"/>
      <c r="T28" s="120"/>
      <c r="U28" s="259">
        <f t="shared" si="1"/>
        <v>1.7307579566733775</v>
      </c>
      <c r="V28" s="173"/>
      <c r="W28" s="240">
        <v>154485</v>
      </c>
      <c r="X28" s="240">
        <v>222815.05488850773</v>
      </c>
      <c r="Y28" s="173"/>
      <c r="Z28" s="173"/>
      <c r="AA28" s="159"/>
      <c r="AC28" s="163"/>
    </row>
    <row r="29" spans="1:29" ht="24" customHeight="1">
      <c r="A29" s="144" t="s">
        <v>79</v>
      </c>
      <c r="B29" s="58" t="s">
        <v>56</v>
      </c>
      <c r="C29" s="76"/>
      <c r="D29" s="76"/>
      <c r="E29" s="48"/>
      <c r="F29" s="70">
        <v>17163</v>
      </c>
      <c r="G29" s="70"/>
      <c r="H29" s="70">
        <v>16562.295</v>
      </c>
      <c r="I29" s="70"/>
      <c r="J29" s="70">
        <v>136675.29499999998</v>
      </c>
      <c r="K29" s="70"/>
      <c r="L29" s="70">
        <v>180362</v>
      </c>
      <c r="M29" s="147"/>
      <c r="N29" s="147">
        <f t="shared" si="0"/>
        <v>96.49999999999999</v>
      </c>
      <c r="O29" s="147"/>
      <c r="P29" s="147"/>
      <c r="Q29" s="147"/>
      <c r="R29" s="147">
        <v>114.49814859804471</v>
      </c>
      <c r="S29" s="256"/>
      <c r="T29" s="120"/>
      <c r="U29" s="259">
        <f t="shared" si="1"/>
        <v>1.2036963529682616</v>
      </c>
      <c r="V29" s="173"/>
      <c r="W29" s="240"/>
      <c r="X29" s="240">
        <v>154710</v>
      </c>
      <c r="Y29" s="173"/>
      <c r="Z29" s="173"/>
      <c r="AA29" s="159"/>
      <c r="AC29" s="163"/>
    </row>
    <row r="30" spans="1:29" ht="24" customHeight="1">
      <c r="A30" s="144" t="s">
        <v>66</v>
      </c>
      <c r="B30" s="58" t="s">
        <v>56</v>
      </c>
      <c r="C30" s="76"/>
      <c r="D30" s="76"/>
      <c r="E30" s="48"/>
      <c r="F30" s="49">
        <v>19417</v>
      </c>
      <c r="G30" s="68"/>
      <c r="H30" s="68">
        <v>18776.239</v>
      </c>
      <c r="I30" s="68"/>
      <c r="J30" s="68">
        <v>111767.239</v>
      </c>
      <c r="K30" s="68"/>
      <c r="L30" s="68">
        <v>137096</v>
      </c>
      <c r="M30" s="147"/>
      <c r="N30" s="147">
        <f t="shared" si="0"/>
        <v>96.7</v>
      </c>
      <c r="O30" s="147"/>
      <c r="P30" s="147"/>
      <c r="Q30" s="147"/>
      <c r="R30" s="147">
        <v>111.7996609016615</v>
      </c>
      <c r="S30" s="256"/>
      <c r="T30" s="120"/>
      <c r="U30" s="259">
        <f t="shared" si="1"/>
        <v>0.9843316450543025</v>
      </c>
      <c r="V30" s="173"/>
      <c r="W30" s="240"/>
      <c r="X30" s="240">
        <v>171296</v>
      </c>
      <c r="Y30" s="173"/>
      <c r="Z30" s="173"/>
      <c r="AA30" s="159"/>
      <c r="AC30" s="163"/>
    </row>
    <row r="31" spans="1:29" ht="24" customHeight="1">
      <c r="A31" s="142" t="s">
        <v>67</v>
      </c>
      <c r="B31" s="58" t="s">
        <v>12</v>
      </c>
      <c r="C31" s="76"/>
      <c r="D31" s="76"/>
      <c r="E31" s="49">
        <v>6090</v>
      </c>
      <c r="F31" s="49">
        <v>9527</v>
      </c>
      <c r="G31" s="68">
        <v>6200</v>
      </c>
      <c r="H31" s="68">
        <v>9699.080459770115</v>
      </c>
      <c r="I31" s="68">
        <v>56046</v>
      </c>
      <c r="J31" s="68">
        <v>87866.08045977012</v>
      </c>
      <c r="K31" s="68">
        <v>78260</v>
      </c>
      <c r="L31" s="68">
        <v>122427.42528735632</v>
      </c>
      <c r="M31" s="147">
        <f>G31/E31*100</f>
        <v>101.80623973727423</v>
      </c>
      <c r="N31" s="147">
        <f t="shared" si="0"/>
        <v>101.80623973727423</v>
      </c>
      <c r="O31" s="147"/>
      <c r="P31" s="147"/>
      <c r="Q31" s="147">
        <v>87.1375487802982</v>
      </c>
      <c r="R31" s="147">
        <v>78.26597586069703</v>
      </c>
      <c r="S31" s="256"/>
      <c r="T31" s="257"/>
      <c r="U31" s="259">
        <f t="shared" si="1"/>
        <v>0.7738346611876062</v>
      </c>
      <c r="V31" s="173"/>
      <c r="W31" s="240">
        <v>78796</v>
      </c>
      <c r="X31" s="240">
        <v>135865.31976100907</v>
      </c>
      <c r="Y31" s="173"/>
      <c r="Z31" s="173"/>
      <c r="AA31" s="159"/>
      <c r="AC31" s="163"/>
    </row>
    <row r="32" spans="1:29" ht="24" customHeight="1">
      <c r="A32" s="142" t="s">
        <v>90</v>
      </c>
      <c r="B32" s="58" t="s">
        <v>56</v>
      </c>
      <c r="C32" s="76"/>
      <c r="D32" s="76"/>
      <c r="E32" s="48"/>
      <c r="F32" s="49">
        <v>6921</v>
      </c>
      <c r="G32" s="68"/>
      <c r="H32" s="68">
        <v>6678.765</v>
      </c>
      <c r="I32" s="68"/>
      <c r="J32" s="68">
        <v>67387.765</v>
      </c>
      <c r="K32" s="68"/>
      <c r="L32" s="68">
        <v>90360</v>
      </c>
      <c r="M32" s="147"/>
      <c r="N32" s="147">
        <f t="shared" si="0"/>
        <v>96.50000000000001</v>
      </c>
      <c r="O32" s="147"/>
      <c r="P32" s="147"/>
      <c r="Q32" s="147"/>
      <c r="R32" s="147">
        <v>104.44638788573909</v>
      </c>
      <c r="S32" s="256"/>
      <c r="T32" s="257"/>
      <c r="U32" s="259">
        <f t="shared" si="1"/>
        <v>0.5934825819485684</v>
      </c>
      <c r="V32" s="173"/>
      <c r="W32" s="240"/>
      <c r="X32" s="240">
        <v>89434</v>
      </c>
      <c r="Y32" s="173"/>
      <c r="Z32" s="173"/>
      <c r="AA32" s="159"/>
      <c r="AC32" s="163"/>
    </row>
    <row r="33" spans="1:29" ht="24" customHeight="1">
      <c r="A33" s="142" t="s">
        <v>89</v>
      </c>
      <c r="B33" s="58" t="s">
        <v>56</v>
      </c>
      <c r="C33" s="76"/>
      <c r="D33" s="76"/>
      <c r="E33" s="48"/>
      <c r="F33" s="49">
        <v>6875</v>
      </c>
      <c r="G33" s="68"/>
      <c r="H33" s="68">
        <v>6634.375</v>
      </c>
      <c r="I33" s="68"/>
      <c r="J33" s="68">
        <v>66500.375</v>
      </c>
      <c r="K33" s="68"/>
      <c r="L33" s="68">
        <v>87590</v>
      </c>
      <c r="M33" s="147"/>
      <c r="N33" s="147">
        <f t="shared" si="0"/>
        <v>96.5</v>
      </c>
      <c r="O33" s="147"/>
      <c r="P33" s="147"/>
      <c r="Q33" s="147"/>
      <c r="R33" s="147">
        <v>69.50435314283325</v>
      </c>
      <c r="S33" s="256"/>
      <c r="T33" s="120"/>
      <c r="U33" s="259">
        <f t="shared" si="1"/>
        <v>0.585667357502479</v>
      </c>
      <c r="V33" s="173"/>
      <c r="W33" s="240"/>
      <c r="X33" s="240">
        <v>120885</v>
      </c>
      <c r="Y33" s="173"/>
      <c r="Z33" s="173">
        <v>120701</v>
      </c>
      <c r="AA33" s="159"/>
      <c r="AC33" s="163"/>
    </row>
    <row r="34" spans="1:29" ht="24" customHeight="1">
      <c r="A34" s="144" t="s">
        <v>81</v>
      </c>
      <c r="B34" s="58" t="s">
        <v>12</v>
      </c>
      <c r="C34" s="76"/>
      <c r="D34" s="76"/>
      <c r="E34" s="49">
        <v>460</v>
      </c>
      <c r="F34" s="49">
        <v>3995</v>
      </c>
      <c r="G34" s="68">
        <v>455</v>
      </c>
      <c r="H34" s="68">
        <v>3951.576086956522</v>
      </c>
      <c r="I34" s="68">
        <v>4690</v>
      </c>
      <c r="J34" s="68">
        <v>41824.57608695652</v>
      </c>
      <c r="K34" s="68">
        <v>6155</v>
      </c>
      <c r="L34" s="68">
        <v>53454.83695652174</v>
      </c>
      <c r="M34" s="147">
        <f>G34/E34*100</f>
        <v>98.91304347826086</v>
      </c>
      <c r="N34" s="147">
        <f t="shared" si="0"/>
        <v>98.91304347826087</v>
      </c>
      <c r="O34" s="147"/>
      <c r="P34" s="147"/>
      <c r="Q34" s="147">
        <v>93.66886359097263</v>
      </c>
      <c r="R34" s="147">
        <v>81.35810785666924</v>
      </c>
      <c r="S34" s="256"/>
      <c r="T34" s="257"/>
      <c r="U34" s="259">
        <f t="shared" si="1"/>
        <v>0.3683481327061568</v>
      </c>
      <c r="V34" s="173"/>
      <c r="W34" s="240">
        <v>6549</v>
      </c>
      <c r="X34" s="240">
        <v>68701.44067796611</v>
      </c>
      <c r="Y34" s="173">
        <v>6632</v>
      </c>
      <c r="Z34" s="171"/>
      <c r="AA34" s="159"/>
      <c r="AC34" s="163"/>
    </row>
    <row r="35" spans="1:29" ht="24" customHeight="1">
      <c r="A35" s="142" t="s">
        <v>82</v>
      </c>
      <c r="B35" s="58" t="s">
        <v>12</v>
      </c>
      <c r="C35" s="76"/>
      <c r="D35" s="76"/>
      <c r="E35" s="49">
        <v>2812</v>
      </c>
      <c r="F35" s="49">
        <v>3686</v>
      </c>
      <c r="G35" s="68">
        <v>2700</v>
      </c>
      <c r="H35" s="68">
        <v>3539.189189189189</v>
      </c>
      <c r="I35" s="68">
        <v>18338</v>
      </c>
      <c r="J35" s="68">
        <v>24464.18918918919</v>
      </c>
      <c r="K35" s="68">
        <v>27538</v>
      </c>
      <c r="L35" s="68">
        <v>36097.10810810811</v>
      </c>
      <c r="M35" s="147">
        <f>G35/E35*100</f>
        <v>96.01706970128022</v>
      </c>
      <c r="N35" s="147">
        <f t="shared" si="0"/>
        <v>96.01706970128022</v>
      </c>
      <c r="O35" s="147"/>
      <c r="P35" s="147"/>
      <c r="Q35" s="147">
        <v>106.51100656328047</v>
      </c>
      <c r="R35" s="147">
        <v>92.76928895070036</v>
      </c>
      <c r="S35" s="256"/>
      <c r="T35" s="257"/>
      <c r="U35" s="259">
        <f t="shared" si="1"/>
        <v>0.2154555825568374</v>
      </c>
      <c r="V35" s="173"/>
      <c r="W35" s="240">
        <v>24879</v>
      </c>
      <c r="X35" s="240">
        <v>36421.75341296929</v>
      </c>
      <c r="Y35" s="173">
        <v>26262</v>
      </c>
      <c r="Z35" s="171"/>
      <c r="AA35" s="159"/>
      <c r="AC35" s="163"/>
    </row>
    <row r="36" spans="1:20" ht="24" customHeight="1">
      <c r="A36" s="142"/>
      <c r="B36" s="58"/>
      <c r="C36" s="76"/>
      <c r="D36" s="76"/>
      <c r="E36" s="49"/>
      <c r="F36" s="49"/>
      <c r="G36" s="68"/>
      <c r="H36" s="68"/>
      <c r="I36" s="68"/>
      <c r="J36" s="68"/>
      <c r="K36" s="68"/>
      <c r="L36" s="68"/>
      <c r="M36" s="147"/>
      <c r="N36" s="146"/>
      <c r="O36" s="148"/>
      <c r="P36" s="148"/>
      <c r="Q36" s="148"/>
      <c r="R36" s="148"/>
      <c r="S36" s="120"/>
      <c r="T36" s="120"/>
    </row>
    <row r="37" spans="1:26" s="44" customFormat="1" ht="24" customHeight="1">
      <c r="A37" s="105" t="s">
        <v>68</v>
      </c>
      <c r="B37" s="106"/>
      <c r="C37" s="107"/>
      <c r="D37" s="107"/>
      <c r="E37" s="74"/>
      <c r="F37" s="74"/>
      <c r="G37" s="74"/>
      <c r="H37" s="129"/>
      <c r="I37" s="74"/>
      <c r="J37" s="74"/>
      <c r="K37" s="74"/>
      <c r="L37" s="74"/>
      <c r="M37" s="147"/>
      <c r="N37" s="146"/>
      <c r="O37" s="149"/>
      <c r="P37" s="149"/>
      <c r="Q37" s="149"/>
      <c r="R37" s="149"/>
      <c r="S37" s="255"/>
      <c r="T37" s="255"/>
      <c r="U37" s="166"/>
      <c r="V37" s="166"/>
      <c r="W37" s="166"/>
      <c r="X37" s="166"/>
      <c r="Y37" s="166"/>
      <c r="Z37" s="166"/>
    </row>
    <row r="38" spans="1:24" ht="34.5" customHeight="1">
      <c r="A38" s="98" t="s">
        <v>70</v>
      </c>
      <c r="B38" s="108" t="s">
        <v>71</v>
      </c>
      <c r="C38" s="72">
        <v>14100</v>
      </c>
      <c r="D38" s="72">
        <v>14300</v>
      </c>
      <c r="E38" s="72"/>
      <c r="F38" s="83">
        <f>1237920/1000</f>
        <v>1237.92</v>
      </c>
      <c r="G38" s="84"/>
      <c r="H38" s="83">
        <f>1213034/1000</f>
        <v>1213.034</v>
      </c>
      <c r="I38" s="85"/>
      <c r="J38" s="83">
        <f>9580576/1000</f>
        <v>9580.576</v>
      </c>
      <c r="K38" s="86"/>
      <c r="L38" s="83">
        <f>12947238/1000</f>
        <v>12947.238</v>
      </c>
      <c r="M38" s="147"/>
      <c r="N38" s="146">
        <f>H38/F38*100</f>
        <v>97.98969238723019</v>
      </c>
      <c r="O38" s="146"/>
      <c r="P38" s="146"/>
      <c r="Q38" s="146"/>
      <c r="R38" s="146">
        <v>99.89665801121465</v>
      </c>
      <c r="S38" s="257"/>
      <c r="T38" s="146">
        <f>L38/X38*100</f>
        <v>101.57261677066678</v>
      </c>
      <c r="U38" s="187">
        <f>J38/R38*100</f>
        <v>9590.487</v>
      </c>
      <c r="V38" s="189">
        <f>J38/U38*100</f>
        <v>99.89665801121465</v>
      </c>
      <c r="W38" s="189"/>
      <c r="X38" s="184">
        <f>12746780/1000</f>
        <v>12746.78</v>
      </c>
    </row>
    <row r="39" spans="1:26" s="44" customFormat="1" ht="24" customHeight="1">
      <c r="A39" s="109" t="s">
        <v>62</v>
      </c>
      <c r="B39" s="101" t="s">
        <v>71</v>
      </c>
      <c r="C39" s="74"/>
      <c r="D39" s="74"/>
      <c r="E39" s="74"/>
      <c r="F39" s="87">
        <f>223533/1000</f>
        <v>223.533</v>
      </c>
      <c r="G39" s="87"/>
      <c r="H39" s="87">
        <f>211834/1000</f>
        <v>211.834</v>
      </c>
      <c r="I39" s="88"/>
      <c r="J39" s="87">
        <f>1908905/1000</f>
        <v>1908.905</v>
      </c>
      <c r="K39" s="88"/>
      <c r="L39" s="87">
        <f>2652007/1000</f>
        <v>2652.007</v>
      </c>
      <c r="M39" s="147"/>
      <c r="N39" s="147">
        <f aca="true" t="shared" si="2" ref="N39:N67">H39/F39*100</f>
        <v>94.76632085642837</v>
      </c>
      <c r="O39" s="147"/>
      <c r="P39" s="147"/>
      <c r="Q39" s="147"/>
      <c r="R39" s="147">
        <v>95.91166844364145</v>
      </c>
      <c r="S39" s="255"/>
      <c r="T39" s="147">
        <f>L39/X39*100</f>
        <v>98.89065265794031</v>
      </c>
      <c r="U39" s="188">
        <f>U38-U42</f>
        <v>1990.2739999999994</v>
      </c>
      <c r="V39" s="189">
        <f>J39/U39*100</f>
        <v>95.91166844364145</v>
      </c>
      <c r="W39" s="189"/>
      <c r="X39" s="184">
        <f>2681757/1000</f>
        <v>2681.757</v>
      </c>
      <c r="Y39" s="166"/>
      <c r="Z39" s="166"/>
    </row>
    <row r="40" spans="1:24" ht="24" customHeight="1" hidden="1">
      <c r="A40" s="110" t="s">
        <v>64</v>
      </c>
      <c r="B40" s="103" t="s">
        <v>71</v>
      </c>
      <c r="C40" s="76"/>
      <c r="D40" s="76"/>
      <c r="E40" s="76"/>
      <c r="F40" s="89"/>
      <c r="G40" s="89"/>
      <c r="H40" s="89"/>
      <c r="I40" s="89"/>
      <c r="J40" s="245"/>
      <c r="K40" s="89"/>
      <c r="L40" s="245"/>
      <c r="M40" s="147"/>
      <c r="N40" s="147" t="e">
        <f t="shared" si="2"/>
        <v>#DIV/0!</v>
      </c>
      <c r="O40" s="147"/>
      <c r="P40" s="147"/>
      <c r="Q40" s="147"/>
      <c r="R40" s="147"/>
      <c r="S40" s="120"/>
      <c r="T40" s="147" t="e">
        <f>L40/X40*100</f>
        <v>#DIV/0!</v>
      </c>
      <c r="V40" s="189" t="e">
        <f>J40/U40*100</f>
        <v>#DIV/0!</v>
      </c>
      <c r="W40" s="189"/>
      <c r="X40" s="185"/>
    </row>
    <row r="41" spans="1:24" ht="24" customHeight="1" hidden="1">
      <c r="A41" s="110" t="s">
        <v>63</v>
      </c>
      <c r="B41" s="103" t="s">
        <v>71</v>
      </c>
      <c r="C41" s="76"/>
      <c r="D41" s="76"/>
      <c r="E41" s="76"/>
      <c r="F41" s="89"/>
      <c r="G41" s="89"/>
      <c r="H41" s="89"/>
      <c r="I41" s="89"/>
      <c r="J41" s="245"/>
      <c r="K41" s="89"/>
      <c r="L41" s="245"/>
      <c r="M41" s="147"/>
      <c r="N41" s="147" t="e">
        <f t="shared" si="2"/>
        <v>#DIV/0!</v>
      </c>
      <c r="O41" s="147"/>
      <c r="P41" s="147"/>
      <c r="Q41" s="147"/>
      <c r="R41" s="147"/>
      <c r="S41" s="120"/>
      <c r="T41" s="147" t="e">
        <f>L41/X41*100</f>
        <v>#DIV/0!</v>
      </c>
      <c r="V41" s="189" t="e">
        <f>J41/U41*100</f>
        <v>#DIV/0!</v>
      </c>
      <c r="W41" s="189"/>
      <c r="X41" s="185"/>
    </row>
    <row r="42" spans="1:26" s="44" customFormat="1" ht="24" customHeight="1">
      <c r="A42" s="109" t="s">
        <v>55</v>
      </c>
      <c r="B42" s="101" t="s">
        <v>71</v>
      </c>
      <c r="C42" s="74"/>
      <c r="D42" s="74"/>
      <c r="E42" s="74"/>
      <c r="F42" s="246">
        <f>1014387/1000</f>
        <v>1014.387</v>
      </c>
      <c r="G42" s="88"/>
      <c r="H42" s="246">
        <f>1001200/1000</f>
        <v>1001.2</v>
      </c>
      <c r="I42" s="88"/>
      <c r="J42" s="246">
        <f>7671671/1000</f>
        <v>7671.671</v>
      </c>
      <c r="K42" s="90"/>
      <c r="L42" s="246">
        <f>10295231/1000</f>
        <v>10295.231</v>
      </c>
      <c r="M42" s="147"/>
      <c r="N42" s="147">
        <f t="shared" si="2"/>
        <v>98.70000305603287</v>
      </c>
      <c r="O42" s="147"/>
      <c r="P42" s="147"/>
      <c r="Q42" s="147"/>
      <c r="R42" s="147">
        <v>100.94021049146913</v>
      </c>
      <c r="S42" s="255"/>
      <c r="T42" s="147">
        <f>L42/X42*100</f>
        <v>102.28720788814888</v>
      </c>
      <c r="U42" s="188">
        <f>J42/R42*100</f>
        <v>7600.213</v>
      </c>
      <c r="V42" s="189">
        <f>J42/U42*100</f>
        <v>100.94021049146913</v>
      </c>
      <c r="W42" s="189"/>
      <c r="X42" s="184">
        <f>10065023/1000</f>
        <v>10065.023</v>
      </c>
      <c r="Y42" s="166"/>
      <c r="Z42" s="166"/>
    </row>
    <row r="43" spans="1:20" ht="27.75" customHeight="1">
      <c r="A43" s="98" t="s">
        <v>69</v>
      </c>
      <c r="B43" s="104"/>
      <c r="C43" s="76"/>
      <c r="D43" s="76"/>
      <c r="E43" s="76"/>
      <c r="F43" s="128"/>
      <c r="G43" s="128"/>
      <c r="H43" s="128"/>
      <c r="I43" s="128"/>
      <c r="J43" s="128"/>
      <c r="K43" s="128"/>
      <c r="L43" s="128"/>
      <c r="M43" s="147"/>
      <c r="N43" s="147"/>
      <c r="O43" s="151"/>
      <c r="P43" s="148"/>
      <c r="Q43" s="151"/>
      <c r="R43" s="148"/>
      <c r="S43" s="120"/>
      <c r="T43" s="120"/>
    </row>
    <row r="44" spans="1:24" ht="30.75" customHeight="1">
      <c r="A44" s="233" t="s">
        <v>97</v>
      </c>
      <c r="B44" s="111" t="s">
        <v>56</v>
      </c>
      <c r="C44" s="76"/>
      <c r="D44" s="76"/>
      <c r="E44" s="78"/>
      <c r="F44" s="116">
        <v>137642</v>
      </c>
      <c r="G44" s="117"/>
      <c r="H44" s="116">
        <v>145269</v>
      </c>
      <c r="I44" s="78"/>
      <c r="J44" s="78">
        <v>1194560</v>
      </c>
      <c r="K44" s="78"/>
      <c r="L44" s="78">
        <v>1620367</v>
      </c>
      <c r="M44" s="147"/>
      <c r="N44" s="147">
        <f t="shared" si="2"/>
        <v>105.54118655642898</v>
      </c>
      <c r="O44" s="147"/>
      <c r="P44" s="147"/>
      <c r="Q44" s="147"/>
      <c r="R44" s="147">
        <v>108.51133021214285</v>
      </c>
      <c r="S44" s="120"/>
      <c r="T44" s="120"/>
      <c r="W44" s="242"/>
      <c r="X44" s="242">
        <v>1491557</v>
      </c>
    </row>
    <row r="45" spans="1:24" ht="24" customHeight="1">
      <c r="A45" s="234" t="s">
        <v>67</v>
      </c>
      <c r="B45" s="111" t="s">
        <v>12</v>
      </c>
      <c r="C45" s="76"/>
      <c r="D45" s="76"/>
      <c r="E45" s="78">
        <v>61248</v>
      </c>
      <c r="F45" s="116">
        <v>97540</v>
      </c>
      <c r="G45" s="78">
        <v>60941.76</v>
      </c>
      <c r="H45" s="116">
        <v>97052.3</v>
      </c>
      <c r="I45" s="78">
        <v>573006.76</v>
      </c>
      <c r="J45" s="78">
        <v>758223.3</v>
      </c>
      <c r="K45" s="78">
        <v>765832</v>
      </c>
      <c r="L45" s="78">
        <v>642209.076989286</v>
      </c>
      <c r="M45" s="147">
        <f>G45/E45*100</f>
        <v>99.5</v>
      </c>
      <c r="N45" s="147">
        <f t="shared" si="2"/>
        <v>99.5</v>
      </c>
      <c r="O45" s="147"/>
      <c r="P45" s="147"/>
      <c r="Q45" s="147">
        <v>120.01021226686773</v>
      </c>
      <c r="R45" s="147">
        <v>100.6377999994691</v>
      </c>
      <c r="S45" s="120"/>
      <c r="T45" s="120"/>
      <c r="W45" s="242">
        <v>617039</v>
      </c>
      <c r="X45" s="242">
        <v>989190.7952662722</v>
      </c>
    </row>
    <row r="46" spans="1:24" ht="24" customHeight="1">
      <c r="A46" s="233" t="s">
        <v>100</v>
      </c>
      <c r="B46" s="111" t="s">
        <v>56</v>
      </c>
      <c r="C46" s="76"/>
      <c r="D46" s="76"/>
      <c r="E46" s="120"/>
      <c r="F46" s="78">
        <v>72122</v>
      </c>
      <c r="G46" s="118"/>
      <c r="H46" s="116">
        <v>95102</v>
      </c>
      <c r="I46" s="119"/>
      <c r="J46" s="78">
        <v>699385</v>
      </c>
      <c r="K46" s="78"/>
      <c r="L46" s="78">
        <v>1117265.12</v>
      </c>
      <c r="M46" s="147"/>
      <c r="N46" s="147">
        <f t="shared" si="2"/>
        <v>131.8626771304179</v>
      </c>
      <c r="O46" s="147"/>
      <c r="P46" s="147"/>
      <c r="Q46" s="147"/>
      <c r="R46" s="147">
        <v>102.06617661008688</v>
      </c>
      <c r="S46" s="120"/>
      <c r="T46" s="120"/>
      <c r="W46" s="242"/>
      <c r="X46" s="242">
        <v>927604</v>
      </c>
    </row>
    <row r="47" spans="1:24" ht="24" customHeight="1">
      <c r="A47" s="233" t="s">
        <v>98</v>
      </c>
      <c r="B47" s="111" t="s">
        <v>12</v>
      </c>
      <c r="C47" s="76"/>
      <c r="D47" s="76"/>
      <c r="E47" s="78">
        <v>127940</v>
      </c>
      <c r="F47" s="116">
        <v>94867</v>
      </c>
      <c r="G47" s="78">
        <v>124741.5</v>
      </c>
      <c r="H47" s="116">
        <v>92495.325</v>
      </c>
      <c r="I47" s="78">
        <v>1060513.5</v>
      </c>
      <c r="J47" s="78">
        <v>686703.325</v>
      </c>
      <c r="K47" s="78">
        <v>1434738</v>
      </c>
      <c r="L47" s="78">
        <v>864189.3</v>
      </c>
      <c r="M47" s="147">
        <f>G47/E47*100</f>
        <v>97.5</v>
      </c>
      <c r="N47" s="147">
        <f t="shared" si="2"/>
        <v>97.5</v>
      </c>
      <c r="O47" s="147"/>
      <c r="P47" s="147"/>
      <c r="Q47" s="147">
        <v>66.36343042942005</v>
      </c>
      <c r="R47" s="147">
        <v>98.98397770384805</v>
      </c>
      <c r="S47" s="120"/>
      <c r="T47" s="120"/>
      <c r="W47" s="242">
        <v>1208604</v>
      </c>
      <c r="X47" s="242">
        <v>928062.1704936554</v>
      </c>
    </row>
    <row r="48" spans="1:24" ht="30" customHeight="1">
      <c r="A48" s="234" t="s">
        <v>111</v>
      </c>
      <c r="B48" s="111" t="s">
        <v>56</v>
      </c>
      <c r="C48" s="76"/>
      <c r="D48" s="76"/>
      <c r="E48" s="78"/>
      <c r="F48" s="116">
        <v>95243</v>
      </c>
      <c r="G48" s="118"/>
      <c r="H48" s="116">
        <v>94836</v>
      </c>
      <c r="I48" s="119"/>
      <c r="J48" s="78">
        <v>510896</v>
      </c>
      <c r="K48" s="78"/>
      <c r="L48" s="78">
        <v>745125</v>
      </c>
      <c r="M48" s="147"/>
      <c r="N48" s="147">
        <f t="shared" si="2"/>
        <v>99.57267200739162</v>
      </c>
      <c r="O48" s="147"/>
      <c r="P48" s="147"/>
      <c r="Q48" s="147"/>
      <c r="R48" s="147">
        <v>92.44760989662217</v>
      </c>
      <c r="S48" s="120"/>
      <c r="T48" s="120"/>
      <c r="W48" s="242"/>
      <c r="X48" s="242">
        <v>678148</v>
      </c>
    </row>
    <row r="49" spans="1:24" ht="24" customHeight="1">
      <c r="A49" s="234" t="s">
        <v>66</v>
      </c>
      <c r="B49" s="111" t="s">
        <v>56</v>
      </c>
      <c r="C49" s="76"/>
      <c r="D49" s="76"/>
      <c r="E49" s="120"/>
      <c r="F49" s="78">
        <v>78594</v>
      </c>
      <c r="G49" s="117"/>
      <c r="H49" s="116">
        <v>76629.15</v>
      </c>
      <c r="I49" s="78"/>
      <c r="J49" s="78">
        <v>606393.15</v>
      </c>
      <c r="K49" s="78"/>
      <c r="L49" s="78">
        <v>806281</v>
      </c>
      <c r="M49" s="147"/>
      <c r="N49" s="147">
        <f t="shared" si="2"/>
        <v>97.5</v>
      </c>
      <c r="O49" s="147"/>
      <c r="P49" s="147"/>
      <c r="Q49" s="147"/>
      <c r="R49" s="147">
        <v>99.35121970400735</v>
      </c>
      <c r="S49" s="120"/>
      <c r="T49" s="120"/>
      <c r="W49" s="242"/>
      <c r="X49" s="242">
        <v>852058</v>
      </c>
    </row>
    <row r="50" spans="1:24" ht="31.5" customHeight="1">
      <c r="A50" s="235" t="s">
        <v>88</v>
      </c>
      <c r="B50" s="111" t="s">
        <v>56</v>
      </c>
      <c r="C50" s="76"/>
      <c r="D50" s="76"/>
      <c r="E50" s="78"/>
      <c r="F50" s="116">
        <v>62435</v>
      </c>
      <c r="G50" s="117"/>
      <c r="H50" s="116">
        <v>72800</v>
      </c>
      <c r="I50" s="119"/>
      <c r="J50" s="78">
        <v>558798</v>
      </c>
      <c r="K50" s="78"/>
      <c r="L50" s="78">
        <v>750136</v>
      </c>
      <c r="M50" s="147"/>
      <c r="N50" s="147">
        <f t="shared" si="2"/>
        <v>116.60126531592856</v>
      </c>
      <c r="O50" s="147"/>
      <c r="P50" s="147"/>
      <c r="Q50" s="147"/>
      <c r="R50" s="147">
        <v>111.07780443636956</v>
      </c>
      <c r="S50" s="120"/>
      <c r="T50" s="120"/>
      <c r="W50" s="242"/>
      <c r="X50" s="242">
        <v>688317</v>
      </c>
    </row>
    <row r="51" spans="1:24" ht="24" customHeight="1">
      <c r="A51" s="233" t="s">
        <v>99</v>
      </c>
      <c r="B51" s="111" t="s">
        <v>12</v>
      </c>
      <c r="C51" s="76"/>
      <c r="D51" s="76"/>
      <c r="E51" s="78">
        <v>309579</v>
      </c>
      <c r="F51" s="116">
        <v>63013</v>
      </c>
      <c r="G51" s="78">
        <v>20296</v>
      </c>
      <c r="H51" s="116">
        <v>4131.132434693567</v>
      </c>
      <c r="I51" s="78">
        <v>438232</v>
      </c>
      <c r="J51" s="78">
        <v>427776.1324346936</v>
      </c>
      <c r="K51" s="78">
        <v>1497529.8066856016</v>
      </c>
      <c r="L51" s="78">
        <v>579759</v>
      </c>
      <c r="M51" s="147">
        <f>G51/E51*100</f>
        <v>6.556000245494688</v>
      </c>
      <c r="N51" s="147">
        <f t="shared" si="2"/>
        <v>6.556000245494687</v>
      </c>
      <c r="O51" s="147"/>
      <c r="P51" s="147"/>
      <c r="Q51" s="147">
        <v>169.80668560158404</v>
      </c>
      <c r="R51" s="147">
        <v>84.85029027533126</v>
      </c>
      <c r="S51" s="120"/>
      <c r="T51" s="120"/>
      <c r="W51" s="242">
        <v>281671</v>
      </c>
      <c r="X51" s="242">
        <v>702044.5191711733</v>
      </c>
    </row>
    <row r="52" spans="1:24" ht="24" customHeight="1">
      <c r="A52" s="234" t="s">
        <v>83</v>
      </c>
      <c r="B52" s="111" t="s">
        <v>12</v>
      </c>
      <c r="C52" s="76"/>
      <c r="D52" s="76"/>
      <c r="E52" s="78">
        <v>130760</v>
      </c>
      <c r="F52" s="116">
        <v>24686</v>
      </c>
      <c r="G52" s="78">
        <v>127491</v>
      </c>
      <c r="H52" s="116">
        <v>24068.850000000002</v>
      </c>
      <c r="I52" s="78">
        <v>1166378</v>
      </c>
      <c r="J52" s="78">
        <v>231238.85</v>
      </c>
      <c r="K52" s="78">
        <v>1608851</v>
      </c>
      <c r="L52" s="78">
        <v>303732.7606760477</v>
      </c>
      <c r="M52" s="147">
        <f>G52/E52*100</f>
        <v>97.5</v>
      </c>
      <c r="N52" s="147">
        <f t="shared" si="2"/>
        <v>97.50000000000001</v>
      </c>
      <c r="O52" s="147"/>
      <c r="P52" s="147"/>
      <c r="Q52" s="147">
        <v>84.14636433812124</v>
      </c>
      <c r="R52" s="147">
        <v>71.87223375686898</v>
      </c>
      <c r="S52" s="120"/>
      <c r="T52" s="120"/>
      <c r="W52" s="242">
        <v>1774265</v>
      </c>
      <c r="X52" s="242">
        <v>406832.75765459274</v>
      </c>
    </row>
    <row r="53" spans="1:24" ht="24" customHeight="1">
      <c r="A53" s="234" t="s">
        <v>74</v>
      </c>
      <c r="B53" s="111" t="s">
        <v>56</v>
      </c>
      <c r="C53" s="76"/>
      <c r="D53" s="76"/>
      <c r="E53" s="78"/>
      <c r="F53" s="116">
        <v>44818</v>
      </c>
      <c r="G53" s="117"/>
      <c r="H53" s="116">
        <v>43742.367999999995</v>
      </c>
      <c r="I53" s="78"/>
      <c r="J53" s="78">
        <v>366256.368</v>
      </c>
      <c r="K53" s="78"/>
      <c r="L53" s="78">
        <v>437483.47</v>
      </c>
      <c r="M53" s="147"/>
      <c r="N53" s="147">
        <f t="shared" si="2"/>
        <v>97.59999999999998</v>
      </c>
      <c r="O53" s="147"/>
      <c r="P53" s="147"/>
      <c r="Q53" s="147"/>
      <c r="R53" s="147">
        <v>100.86983899663453</v>
      </c>
      <c r="S53" s="120"/>
      <c r="T53" s="120"/>
      <c r="W53" s="242"/>
      <c r="X53" s="242">
        <v>483870</v>
      </c>
    </row>
    <row r="54" spans="1:24" ht="24" customHeight="1">
      <c r="A54" s="233" t="s">
        <v>93</v>
      </c>
      <c r="B54" s="111" t="s">
        <v>12</v>
      </c>
      <c r="C54" s="76"/>
      <c r="D54" s="76"/>
      <c r="E54" s="78">
        <v>22873</v>
      </c>
      <c r="F54" s="116">
        <v>40465</v>
      </c>
      <c r="G54" s="78">
        <v>22278.302000000003</v>
      </c>
      <c r="H54" s="116">
        <v>39412.91</v>
      </c>
      <c r="I54" s="78">
        <v>168425.302</v>
      </c>
      <c r="J54" s="78">
        <v>299367.91000000003</v>
      </c>
      <c r="K54" s="78">
        <v>235260.208</v>
      </c>
      <c r="L54" s="78">
        <v>417606.64</v>
      </c>
      <c r="M54" s="147">
        <f>G54/E54*100</f>
        <v>97.40000000000002</v>
      </c>
      <c r="N54" s="147">
        <f t="shared" si="2"/>
        <v>97.4</v>
      </c>
      <c r="O54" s="147"/>
      <c r="P54" s="147"/>
      <c r="Q54" s="147">
        <v>97.47342280558594</v>
      </c>
      <c r="R54" s="147">
        <v>89.19156194323783</v>
      </c>
      <c r="S54" s="120"/>
      <c r="T54" s="120"/>
      <c r="W54" s="242">
        <v>227203</v>
      </c>
      <c r="X54" s="242">
        <v>427219.737416718</v>
      </c>
    </row>
    <row r="55" spans="1:24" ht="30" customHeight="1">
      <c r="A55" s="144" t="s">
        <v>108</v>
      </c>
      <c r="B55" s="111" t="s">
        <v>56</v>
      </c>
      <c r="C55" s="76"/>
      <c r="D55" s="76"/>
      <c r="E55" s="78"/>
      <c r="F55" s="116">
        <v>44292</v>
      </c>
      <c r="G55" s="117"/>
      <c r="H55" s="116">
        <v>42185</v>
      </c>
      <c r="I55" s="119"/>
      <c r="J55" s="78">
        <v>323175</v>
      </c>
      <c r="K55" s="78"/>
      <c r="L55" s="78">
        <v>450310.68675779</v>
      </c>
      <c r="M55" s="147"/>
      <c r="N55" s="147">
        <f t="shared" si="2"/>
        <v>95.24293326108553</v>
      </c>
      <c r="O55" s="147"/>
      <c r="P55" s="147"/>
      <c r="Q55" s="147"/>
      <c r="R55" s="147">
        <v>120.68675778624242</v>
      </c>
      <c r="S55" s="120"/>
      <c r="T55" s="120"/>
      <c r="W55" s="242"/>
      <c r="X55" s="242">
        <v>355015</v>
      </c>
    </row>
    <row r="56" spans="1:24" ht="24" customHeight="1">
      <c r="A56" s="233" t="s">
        <v>102</v>
      </c>
      <c r="B56" s="111" t="s">
        <v>56</v>
      </c>
      <c r="C56" s="76"/>
      <c r="D56" s="76"/>
      <c r="E56" s="78"/>
      <c r="F56" s="116">
        <v>37773</v>
      </c>
      <c r="G56" s="117"/>
      <c r="H56" s="116">
        <v>36828.675</v>
      </c>
      <c r="I56" s="78"/>
      <c r="J56" s="78">
        <v>295480.675</v>
      </c>
      <c r="K56" s="78"/>
      <c r="L56" s="78">
        <v>423670</v>
      </c>
      <c r="M56" s="147"/>
      <c r="N56" s="147">
        <f t="shared" si="2"/>
        <v>97.50000000000001</v>
      </c>
      <c r="O56" s="147"/>
      <c r="P56" s="147"/>
      <c r="Q56" s="147"/>
      <c r="R56" s="147">
        <v>149.6354707368826</v>
      </c>
      <c r="S56" s="120"/>
      <c r="T56" s="120"/>
      <c r="W56" s="242"/>
      <c r="X56" s="242">
        <v>275723</v>
      </c>
    </row>
    <row r="57" spans="1:24" ht="24" customHeight="1">
      <c r="A57" s="234" t="s">
        <v>72</v>
      </c>
      <c r="B57" s="111" t="s">
        <v>56</v>
      </c>
      <c r="C57" s="76"/>
      <c r="D57" s="76"/>
      <c r="E57" s="78"/>
      <c r="F57" s="116">
        <v>7323</v>
      </c>
      <c r="G57" s="117"/>
      <c r="H57" s="116">
        <v>7768</v>
      </c>
      <c r="I57" s="78"/>
      <c r="J57" s="78">
        <v>57667</v>
      </c>
      <c r="K57" s="78"/>
      <c r="L57" s="78">
        <v>112971</v>
      </c>
      <c r="M57" s="147"/>
      <c r="N57" s="147">
        <f t="shared" si="2"/>
        <v>106.07674450361873</v>
      </c>
      <c r="O57" s="147"/>
      <c r="P57" s="147"/>
      <c r="Q57" s="147"/>
      <c r="R57" s="147">
        <v>98.8548898602897</v>
      </c>
      <c r="S57" s="120"/>
      <c r="T57" s="120"/>
      <c r="W57" s="242"/>
      <c r="X57" s="242">
        <v>102225</v>
      </c>
    </row>
    <row r="58" spans="1:24" ht="24" customHeight="1">
      <c r="A58" s="235" t="s">
        <v>101</v>
      </c>
      <c r="B58" s="111" t="s">
        <v>12</v>
      </c>
      <c r="C58" s="76"/>
      <c r="D58" s="76"/>
      <c r="E58" s="78">
        <v>30137</v>
      </c>
      <c r="F58" s="116">
        <v>49483</v>
      </c>
      <c r="G58" s="78">
        <v>29443.849</v>
      </c>
      <c r="H58" s="116">
        <v>48344.890999999996</v>
      </c>
      <c r="I58" s="78">
        <v>227547.849</v>
      </c>
      <c r="J58" s="78">
        <v>357032.891</v>
      </c>
      <c r="K58" s="78">
        <v>315879.39599999995</v>
      </c>
      <c r="L58" s="78">
        <v>502067.56</v>
      </c>
      <c r="M58" s="147">
        <f>G58/E58*100</f>
        <v>97.7</v>
      </c>
      <c r="N58" s="147">
        <f t="shared" si="2"/>
        <v>97.69999999999999</v>
      </c>
      <c r="O58" s="147"/>
      <c r="P58" s="147"/>
      <c r="Q58" s="147">
        <v>70.71666728822092</v>
      </c>
      <c r="R58" s="147">
        <v>92.49221297673141</v>
      </c>
      <c r="S58" s="120"/>
      <c r="T58" s="120"/>
      <c r="W58" s="242">
        <v>370384</v>
      </c>
      <c r="X58" s="242">
        <v>462985.65225182177</v>
      </c>
    </row>
    <row r="59" spans="1:24" ht="24" customHeight="1">
      <c r="A59" s="234" t="s">
        <v>112</v>
      </c>
      <c r="B59" s="111" t="s">
        <v>53</v>
      </c>
      <c r="C59" s="76"/>
      <c r="D59" s="76"/>
      <c r="E59" s="78">
        <v>584</v>
      </c>
      <c r="F59" s="116">
        <v>15674</v>
      </c>
      <c r="G59" s="78">
        <v>569.4</v>
      </c>
      <c r="H59" s="116">
        <v>15282.15</v>
      </c>
      <c r="I59" s="78">
        <v>3279.4</v>
      </c>
      <c r="J59" s="78">
        <v>90780.15</v>
      </c>
      <c r="K59" s="78">
        <v>15016.341224489797</v>
      </c>
      <c r="L59" s="78">
        <v>409918.61567076424</v>
      </c>
      <c r="M59" s="147">
        <f>G59/E59*100</f>
        <v>97.5</v>
      </c>
      <c r="N59" s="147">
        <f t="shared" si="2"/>
        <v>97.5</v>
      </c>
      <c r="O59" s="147"/>
      <c r="P59" s="147"/>
      <c r="Q59" s="147">
        <v>53.54122448979592</v>
      </c>
      <c r="R59" s="147">
        <v>38.81567076429717</v>
      </c>
      <c r="S59" s="120"/>
      <c r="T59" s="120"/>
      <c r="W59" s="242">
        <v>7939</v>
      </c>
      <c r="X59" s="242">
        <v>276129.91025641025</v>
      </c>
    </row>
    <row r="60" spans="1:24" ht="24" customHeight="1">
      <c r="A60" s="234" t="s">
        <v>65</v>
      </c>
      <c r="B60" s="111" t="s">
        <v>56</v>
      </c>
      <c r="C60" s="76"/>
      <c r="D60" s="76"/>
      <c r="E60" s="78"/>
      <c r="F60" s="116">
        <v>25821</v>
      </c>
      <c r="G60" s="117"/>
      <c r="H60" s="116">
        <v>25691.895</v>
      </c>
      <c r="I60" s="78"/>
      <c r="J60" s="78">
        <v>198946.895</v>
      </c>
      <c r="K60" s="78"/>
      <c r="L60" s="78">
        <v>276022</v>
      </c>
      <c r="M60" s="147"/>
      <c r="N60" s="147">
        <f t="shared" si="2"/>
        <v>99.5</v>
      </c>
      <c r="O60" s="147"/>
      <c r="P60" s="147"/>
      <c r="Q60" s="147"/>
      <c r="R60" s="147">
        <v>118.71260598972472</v>
      </c>
      <c r="S60" s="120"/>
      <c r="T60" s="120"/>
      <c r="W60" s="242"/>
      <c r="X60" s="242">
        <v>232089</v>
      </c>
    </row>
    <row r="61" spans="1:24" ht="29.25" customHeight="1">
      <c r="A61" s="234" t="s">
        <v>77</v>
      </c>
      <c r="B61" s="111" t="s">
        <v>56</v>
      </c>
      <c r="C61" s="76"/>
      <c r="D61" s="76"/>
      <c r="E61" s="78"/>
      <c r="F61" s="116">
        <v>16208</v>
      </c>
      <c r="G61" s="117"/>
      <c r="H61" s="116">
        <v>16103</v>
      </c>
      <c r="I61" s="78"/>
      <c r="J61" s="78">
        <v>150097</v>
      </c>
      <c r="K61" s="78"/>
      <c r="L61" s="78">
        <v>193406</v>
      </c>
      <c r="M61" s="147"/>
      <c r="N61" s="147">
        <f t="shared" si="2"/>
        <v>99.35217176702864</v>
      </c>
      <c r="O61" s="147"/>
      <c r="P61" s="147"/>
      <c r="Q61" s="147"/>
      <c r="R61" s="147">
        <v>95.03058007167007</v>
      </c>
      <c r="S61" s="120"/>
      <c r="T61" s="120"/>
      <c r="W61" s="242"/>
      <c r="X61" s="242">
        <v>231437</v>
      </c>
    </row>
    <row r="62" spans="1:24" ht="24" customHeight="1">
      <c r="A62" s="234" t="s">
        <v>103</v>
      </c>
      <c r="B62" s="111" t="s">
        <v>56</v>
      </c>
      <c r="C62" s="76"/>
      <c r="D62" s="76"/>
      <c r="E62" s="78"/>
      <c r="F62" s="116">
        <v>16174</v>
      </c>
      <c r="G62" s="117"/>
      <c r="H62" s="116">
        <v>16100</v>
      </c>
      <c r="I62" s="78"/>
      <c r="J62" s="78">
        <v>136806</v>
      </c>
      <c r="K62" s="78"/>
      <c r="L62" s="78">
        <v>185106</v>
      </c>
      <c r="M62" s="147"/>
      <c r="N62" s="147">
        <f t="shared" si="2"/>
        <v>99.54247557808829</v>
      </c>
      <c r="O62" s="147"/>
      <c r="P62" s="147"/>
      <c r="Q62" s="147"/>
      <c r="R62" s="147">
        <v>91.12988103009553</v>
      </c>
      <c r="S62" s="120"/>
      <c r="T62" s="120"/>
      <c r="W62" s="242"/>
      <c r="X62" s="242">
        <v>336818</v>
      </c>
    </row>
    <row r="63" spans="1:24" ht="24" customHeight="1">
      <c r="A63" s="233" t="s">
        <v>104</v>
      </c>
      <c r="B63" s="111" t="s">
        <v>56</v>
      </c>
      <c r="C63" s="76"/>
      <c r="D63" s="76"/>
      <c r="E63" s="78"/>
      <c r="F63" s="116">
        <v>16345</v>
      </c>
      <c r="G63" s="118"/>
      <c r="H63" s="116">
        <v>16295.965</v>
      </c>
      <c r="I63" s="119"/>
      <c r="J63" s="78">
        <v>142639.965</v>
      </c>
      <c r="K63" s="78"/>
      <c r="L63" s="78">
        <v>214685.342120996</v>
      </c>
      <c r="M63" s="147"/>
      <c r="N63" s="147">
        <f t="shared" si="2"/>
        <v>99.7</v>
      </c>
      <c r="O63" s="147"/>
      <c r="P63" s="147"/>
      <c r="Q63" s="147"/>
      <c r="R63" s="147">
        <v>101.76212099593351</v>
      </c>
      <c r="S63" s="120"/>
      <c r="T63" s="120"/>
      <c r="W63" s="242"/>
      <c r="X63" s="242">
        <v>188041</v>
      </c>
    </row>
    <row r="64" spans="1:24" ht="24" customHeight="1">
      <c r="A64" s="233" t="s">
        <v>105</v>
      </c>
      <c r="B64" s="111" t="s">
        <v>12</v>
      </c>
      <c r="C64" s="76"/>
      <c r="D64" s="76"/>
      <c r="E64" s="78">
        <v>17355</v>
      </c>
      <c r="F64" s="116">
        <v>10259</v>
      </c>
      <c r="G64" s="78">
        <v>16921.125</v>
      </c>
      <c r="H64" s="116">
        <v>10002.525</v>
      </c>
      <c r="I64" s="78">
        <v>454297.125</v>
      </c>
      <c r="J64" s="78">
        <v>80262.525</v>
      </c>
      <c r="K64" s="78">
        <v>505060.5</v>
      </c>
      <c r="L64" s="78">
        <v>110270.1</v>
      </c>
      <c r="M64" s="147">
        <f>G64/E64*100</f>
        <v>97.5</v>
      </c>
      <c r="N64" s="147">
        <f t="shared" si="2"/>
        <v>97.5</v>
      </c>
      <c r="O64" s="147"/>
      <c r="P64" s="147"/>
      <c r="Q64" s="147">
        <v>67.0942419395572</v>
      </c>
      <c r="R64" s="147">
        <v>89.63673471666927</v>
      </c>
      <c r="S64" s="120"/>
      <c r="T64" s="120"/>
      <c r="W64" s="242">
        <v>247209</v>
      </c>
      <c r="X64" s="242">
        <v>134649.6339511373</v>
      </c>
    </row>
    <row r="65" spans="1:24" ht="24" customHeight="1">
      <c r="A65" s="234" t="s">
        <v>73</v>
      </c>
      <c r="B65" s="111" t="s">
        <v>12</v>
      </c>
      <c r="C65" s="76"/>
      <c r="D65" s="76"/>
      <c r="E65" s="78">
        <v>9774</v>
      </c>
      <c r="F65" s="116">
        <v>3642</v>
      </c>
      <c r="G65" s="78">
        <v>9744.678</v>
      </c>
      <c r="H65" s="116">
        <v>3631.074</v>
      </c>
      <c r="I65" s="78">
        <v>119183.678</v>
      </c>
      <c r="J65" s="78">
        <v>49322.074</v>
      </c>
      <c r="K65" s="78">
        <v>148417.712</v>
      </c>
      <c r="L65" s="78">
        <v>60215.3</v>
      </c>
      <c r="M65" s="147">
        <f>G65/E65*100</f>
        <v>99.7</v>
      </c>
      <c r="N65" s="147">
        <f t="shared" si="2"/>
        <v>99.7</v>
      </c>
      <c r="O65" s="147"/>
      <c r="P65" s="147"/>
      <c r="Q65" s="147">
        <v>100.56930528483068</v>
      </c>
      <c r="R65" s="147">
        <v>80.5995260973298</v>
      </c>
      <c r="S65" s="120"/>
      <c r="T65" s="120"/>
      <c r="W65" s="242">
        <v>177236</v>
      </c>
      <c r="X65" s="242">
        <v>90373.79095361916</v>
      </c>
    </row>
    <row r="66" spans="1:24" ht="24" customHeight="1">
      <c r="A66" s="236" t="s">
        <v>75</v>
      </c>
      <c r="B66" s="112" t="s">
        <v>56</v>
      </c>
      <c r="C66" s="113"/>
      <c r="D66" s="113"/>
      <c r="E66" s="91"/>
      <c r="F66" s="121">
        <v>8932</v>
      </c>
      <c r="G66" s="122"/>
      <c r="H66" s="121">
        <v>8708.7</v>
      </c>
      <c r="I66" s="91"/>
      <c r="J66" s="91">
        <v>75808.7</v>
      </c>
      <c r="K66" s="91"/>
      <c r="L66" s="91">
        <v>95935</v>
      </c>
      <c r="M66" s="147"/>
      <c r="N66" s="147">
        <f t="shared" si="2"/>
        <v>97.50000000000001</v>
      </c>
      <c r="O66" s="147"/>
      <c r="P66" s="147"/>
      <c r="Q66" s="147"/>
      <c r="R66" s="147">
        <v>136.59225225225225</v>
      </c>
      <c r="S66" s="120"/>
      <c r="T66" s="120"/>
      <c r="W66" s="242"/>
      <c r="X66" s="242">
        <v>78632</v>
      </c>
    </row>
    <row r="67" spans="1:24" ht="24" customHeight="1">
      <c r="A67" s="237" t="s">
        <v>76</v>
      </c>
      <c r="B67" s="114" t="s">
        <v>12</v>
      </c>
      <c r="C67" s="115"/>
      <c r="D67" s="115"/>
      <c r="E67" s="123">
        <v>19292</v>
      </c>
      <c r="F67" s="124">
        <v>3622</v>
      </c>
      <c r="G67" s="123">
        <v>12810</v>
      </c>
      <c r="H67" s="124">
        <v>2405.0290275761977</v>
      </c>
      <c r="I67" s="123">
        <v>153103</v>
      </c>
      <c r="J67" s="123">
        <v>35121.029027576194</v>
      </c>
      <c r="K67" s="123">
        <v>191533</v>
      </c>
      <c r="L67" s="123">
        <v>42336.12</v>
      </c>
      <c r="M67" s="150">
        <f>G67/E67*100</f>
        <v>66.40058055152394</v>
      </c>
      <c r="N67" s="150">
        <f t="shared" si="2"/>
        <v>66.40058055152396</v>
      </c>
      <c r="O67" s="150"/>
      <c r="P67" s="150"/>
      <c r="Q67" s="150">
        <v>98.9440146829782</v>
      </c>
      <c r="R67" s="150">
        <v>80.21246780307456</v>
      </c>
      <c r="S67" s="258"/>
      <c r="T67" s="258"/>
      <c r="W67" s="242">
        <v>213544</v>
      </c>
      <c r="X67" s="242">
        <v>62479.323256510026</v>
      </c>
    </row>
    <row r="68" spans="1:18" ht="16.5">
      <c r="A68" s="50" t="s">
        <v>136</v>
      </c>
      <c r="B68" s="50"/>
      <c r="C68" s="50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80"/>
      <c r="P68" s="81"/>
      <c r="Q68" s="39"/>
      <c r="R68" s="39"/>
    </row>
    <row r="69" spans="1:15" ht="16.5">
      <c r="A69" s="43" t="s">
        <v>135</v>
      </c>
      <c r="B69" s="42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1"/>
    </row>
  </sheetData>
  <sheetProtection/>
  <mergeCells count="31">
    <mergeCell ref="G4:H4"/>
    <mergeCell ref="Q5:R5"/>
    <mergeCell ref="C7:D7"/>
    <mergeCell ref="E7:F7"/>
    <mergeCell ref="G7:H7"/>
    <mergeCell ref="I7:J7"/>
    <mergeCell ref="I5:I6"/>
    <mergeCell ref="Q7:R7"/>
    <mergeCell ref="C4:D6"/>
    <mergeCell ref="J5:J6"/>
    <mergeCell ref="M4:T4"/>
    <mergeCell ref="E5:E6"/>
    <mergeCell ref="A2:P2"/>
    <mergeCell ref="E4:F4"/>
    <mergeCell ref="H5:H6"/>
    <mergeCell ref="A4:A6"/>
    <mergeCell ref="K4:L4"/>
    <mergeCell ref="B4:B6"/>
    <mergeCell ref="F5:F6"/>
    <mergeCell ref="G5:G6"/>
    <mergeCell ref="M5:N5"/>
    <mergeCell ref="I4:J4"/>
    <mergeCell ref="W5:X5"/>
    <mergeCell ref="K5:K6"/>
    <mergeCell ref="L5:L6"/>
    <mergeCell ref="K7:L7"/>
    <mergeCell ref="S5:T5"/>
    <mergeCell ref="S7:T7"/>
    <mergeCell ref="M7:N7"/>
    <mergeCell ref="O7:P7"/>
    <mergeCell ref="O5:P5"/>
  </mergeCells>
  <printOptions/>
  <pageMargins left="0.1968503937007874" right="0.1968503937007874" top="0.31496062992125984" bottom="0.35433070866141736" header="0.15748031496062992" footer="0.15748031496062992"/>
  <pageSetup firstPageNumber="4" useFirstPageNumber="1" horizontalDpi="600" verticalDpi="600" orientation="landscape" paperSize="9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2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7" sqref="F7"/>
    </sheetView>
  </sheetViews>
  <sheetFormatPr defaultColWidth="8.72265625" defaultRowHeight="16.5"/>
  <cols>
    <col min="1" max="1" width="39.6328125" style="3" customWidth="1"/>
    <col min="2" max="2" width="9.36328125" style="3" customWidth="1"/>
    <col min="3" max="3" width="14.0859375" style="3" customWidth="1"/>
    <col min="4" max="4" width="13.54296875" style="3" customWidth="1"/>
    <col min="5" max="5" width="12.8125" style="3" customWidth="1"/>
    <col min="6" max="6" width="11.6328125" style="3" customWidth="1"/>
    <col min="7" max="16384" width="8.90625" style="3" customWidth="1"/>
  </cols>
  <sheetData>
    <row r="1" ht="15.75">
      <c r="A1" s="14" t="s">
        <v>7</v>
      </c>
    </row>
    <row r="2" spans="1:5" ht="15.75">
      <c r="A2" s="15" t="s">
        <v>140</v>
      </c>
      <c r="B2" s="15"/>
      <c r="C2" s="15"/>
      <c r="D2" s="15"/>
      <c r="E2" s="15"/>
    </row>
    <row r="3" spans="1:5" ht="15.75">
      <c r="A3" s="19"/>
      <c r="B3" s="19"/>
      <c r="C3" s="19"/>
      <c r="D3" s="19"/>
      <c r="E3" s="19"/>
    </row>
    <row r="4" spans="1:7" s="4" customFormat="1" ht="24.75" customHeight="1">
      <c r="A4" s="313" t="s">
        <v>14</v>
      </c>
      <c r="B4" s="323" t="s">
        <v>133</v>
      </c>
      <c r="C4" s="59" t="s">
        <v>141</v>
      </c>
      <c r="D4" s="60"/>
      <c r="E4" s="61"/>
      <c r="F4" s="323" t="s">
        <v>59</v>
      </c>
      <c r="G4" s="325"/>
    </row>
    <row r="5" spans="1:7" s="4" customFormat="1" ht="45.75" customHeight="1">
      <c r="A5" s="315"/>
      <c r="B5" s="324"/>
      <c r="C5" s="62" t="s">
        <v>57</v>
      </c>
      <c r="D5" s="62" t="s">
        <v>58</v>
      </c>
      <c r="E5" s="62" t="s">
        <v>51</v>
      </c>
      <c r="F5" s="324"/>
      <c r="G5" s="325"/>
    </row>
    <row r="6" spans="1:6" s="4" customFormat="1" ht="15.75">
      <c r="A6" s="29" t="s">
        <v>10</v>
      </c>
      <c r="B6" s="29">
        <v>1</v>
      </c>
      <c r="C6" s="29">
        <v>2</v>
      </c>
      <c r="D6" s="29">
        <v>3</v>
      </c>
      <c r="E6" s="29">
        <v>4</v>
      </c>
      <c r="F6" s="29">
        <v>5</v>
      </c>
    </row>
    <row r="7" spans="1:7" s="7" customFormat="1" ht="24" customHeight="1">
      <c r="A7" s="5" t="s">
        <v>138</v>
      </c>
      <c r="B7" s="6"/>
      <c r="C7" s="6"/>
      <c r="D7" s="6"/>
      <c r="E7" s="6"/>
      <c r="F7" s="6"/>
      <c r="G7" s="125"/>
    </row>
    <row r="8" spans="1:7" ht="24" customHeight="1">
      <c r="A8" s="155" t="s">
        <v>15</v>
      </c>
      <c r="B8" s="9"/>
      <c r="C8" s="9"/>
      <c r="D8" s="9"/>
      <c r="E8" s="127"/>
      <c r="F8" s="9"/>
      <c r="G8" s="126"/>
    </row>
    <row r="9" spans="1:7" ht="24" customHeight="1">
      <c r="A9" s="8" t="s">
        <v>30</v>
      </c>
      <c r="B9" s="9"/>
      <c r="C9" s="9"/>
      <c r="D9" s="9"/>
      <c r="E9" s="127"/>
      <c r="F9" s="9"/>
      <c r="G9" s="126"/>
    </row>
    <row r="10" spans="1:7" ht="24" customHeight="1">
      <c r="A10" s="8" t="s">
        <v>16</v>
      </c>
      <c r="B10" s="9"/>
      <c r="C10" s="9"/>
      <c r="D10" s="9"/>
      <c r="E10" s="127"/>
      <c r="F10" s="9"/>
      <c r="G10" s="27"/>
    </row>
    <row r="11" spans="1:7" ht="24" customHeight="1">
      <c r="A11" s="8" t="s">
        <v>31</v>
      </c>
      <c r="B11" s="9"/>
      <c r="C11" s="9"/>
      <c r="D11" s="10"/>
      <c r="E11" s="152"/>
      <c r="F11" s="10"/>
      <c r="G11" s="27"/>
    </row>
    <row r="12" spans="1:7" ht="24" customHeight="1">
      <c r="A12" s="8" t="s">
        <v>17</v>
      </c>
      <c r="B12" s="9"/>
      <c r="C12" s="9"/>
      <c r="D12" s="9"/>
      <c r="E12" s="127"/>
      <c r="F12" s="180"/>
      <c r="G12" s="27"/>
    </row>
    <row r="13" spans="1:7" ht="24" customHeight="1">
      <c r="A13" s="8" t="s">
        <v>139</v>
      </c>
      <c r="B13" s="9"/>
      <c r="C13" s="9"/>
      <c r="D13" s="9"/>
      <c r="E13" s="127"/>
      <c r="F13" s="9"/>
      <c r="G13" s="27"/>
    </row>
    <row r="14" spans="1:7" ht="24" customHeight="1">
      <c r="A14" s="155" t="s">
        <v>32</v>
      </c>
      <c r="B14" s="9"/>
      <c r="C14" s="9"/>
      <c r="D14" s="9"/>
      <c r="E14" s="127"/>
      <c r="F14" s="180"/>
      <c r="G14" s="126"/>
    </row>
    <row r="15" spans="1:7" ht="24" customHeight="1">
      <c r="A15" s="155" t="s">
        <v>18</v>
      </c>
      <c r="B15" s="9"/>
      <c r="C15" s="9"/>
      <c r="D15" s="9"/>
      <c r="E15" s="127"/>
      <c r="F15" s="9"/>
      <c r="G15" s="27"/>
    </row>
    <row r="16" spans="1:7" ht="24" customHeight="1">
      <c r="A16" s="155" t="s">
        <v>19</v>
      </c>
      <c r="B16" s="9"/>
      <c r="C16" s="9"/>
      <c r="D16" s="9"/>
      <c r="E16" s="9"/>
      <c r="F16" s="9"/>
      <c r="G16" s="27"/>
    </row>
    <row r="17" spans="1:9" ht="24" customHeight="1">
      <c r="A17" s="155" t="s">
        <v>28</v>
      </c>
      <c r="B17" s="9"/>
      <c r="C17" s="9"/>
      <c r="D17" s="9"/>
      <c r="E17" s="9"/>
      <c r="F17" s="180"/>
      <c r="G17" s="126"/>
      <c r="H17" s="126"/>
      <c r="I17" s="126"/>
    </row>
    <row r="18" spans="1:9" ht="24" customHeight="1">
      <c r="A18" s="155" t="s">
        <v>29</v>
      </c>
      <c r="B18" s="9"/>
      <c r="C18" s="9"/>
      <c r="D18" s="9"/>
      <c r="E18" s="9"/>
      <c r="F18" s="180"/>
      <c r="G18" s="126"/>
      <c r="H18" s="126"/>
      <c r="I18" s="126"/>
    </row>
    <row r="19" spans="1:7" ht="24" customHeight="1">
      <c r="A19" s="8" t="s">
        <v>20</v>
      </c>
      <c r="B19" s="9"/>
      <c r="C19" s="9"/>
      <c r="D19" s="9"/>
      <c r="E19" s="9"/>
      <c r="F19" s="180"/>
      <c r="G19" s="27"/>
    </row>
    <row r="20" spans="1:8" ht="24" customHeight="1">
      <c r="A20" s="8" t="s">
        <v>21</v>
      </c>
      <c r="B20" s="9"/>
      <c r="C20" s="9"/>
      <c r="D20" s="9"/>
      <c r="E20" s="9"/>
      <c r="F20" s="180"/>
      <c r="G20" s="27"/>
      <c r="H20" s="126"/>
    </row>
    <row r="21" spans="1:7" ht="24" customHeight="1">
      <c r="A21" s="8" t="s">
        <v>22</v>
      </c>
      <c r="B21" s="9"/>
      <c r="C21" s="9"/>
      <c r="D21" s="9"/>
      <c r="E21" s="9"/>
      <c r="F21" s="9"/>
      <c r="G21" s="27"/>
    </row>
    <row r="22" spans="1:7" s="12" customFormat="1" ht="24" customHeight="1">
      <c r="A22" s="11" t="s">
        <v>23</v>
      </c>
      <c r="B22" s="20"/>
      <c r="C22" s="20"/>
      <c r="D22" s="20"/>
      <c r="E22" s="71"/>
      <c r="F22" s="20"/>
      <c r="G22" s="27"/>
    </row>
    <row r="23" spans="1:7" s="12" customFormat="1" ht="24" customHeight="1">
      <c r="A23" s="13" t="s">
        <v>24</v>
      </c>
      <c r="B23" s="21"/>
      <c r="C23" s="21"/>
      <c r="D23" s="21"/>
      <c r="E23" s="21"/>
      <c r="F23" s="21"/>
      <c r="G23" s="126"/>
    </row>
  </sheetData>
  <sheetProtection/>
  <mergeCells count="4">
    <mergeCell ref="A4:A5"/>
    <mergeCell ref="F4:F5"/>
    <mergeCell ref="B4:B5"/>
    <mergeCell ref="G4:G5"/>
  </mergeCells>
  <printOptions/>
  <pageMargins left="1.7322834645669292" right="0.2755905511811024" top="0.5118110236220472" bottom="0.4724409448818898" header="0.15748031496062992" footer="0.1968503937007874"/>
  <pageSetup firstPageNumber="7" useFirstPageNumber="1"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/>
      <c r="C1" s="2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18359375" defaultRowHeight="16.5"/>
  <cols>
    <col min="1" max="1" width="20.18359375" style="1" customWidth="1"/>
    <col min="2" max="2" width="0.9140625" style="1" customWidth="1"/>
    <col min="3" max="3" width="21.8125" style="1" customWidth="1"/>
    <col min="4" max="16384" width="6.1835937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tuanpc</cp:lastModifiedBy>
  <cp:lastPrinted>2016-09-22T01:14:15Z</cp:lastPrinted>
  <dcterms:created xsi:type="dcterms:W3CDTF">2002-05-14T16:08:28Z</dcterms:created>
  <dcterms:modified xsi:type="dcterms:W3CDTF">2016-11-09T02:10:13Z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